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Y\Spare_parts\campaings\20240813\"/>
    </mc:Choice>
  </mc:AlternateContent>
  <bookViews>
    <workbookView xWindow="0" yWindow="0" windowWidth="28800" windowHeight="13500"/>
  </bookViews>
  <sheets>
    <sheet name="Полный список" sheetId="1" r:id="rId1"/>
  </sheets>
  <definedNames>
    <definedName name="_xlnm._FilterDatabase" localSheetId="0" hidden="1">'Полный список'!$A$1:$H$4386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2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7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3" i="1"/>
  <c r="B2864" i="1"/>
  <c r="B2865" i="1"/>
  <c r="B2866" i="1"/>
  <c r="B2867" i="1"/>
  <c r="B2870" i="1"/>
  <c r="B2871" i="1"/>
  <c r="B2872" i="1"/>
  <c r="B2873" i="1"/>
  <c r="B2874" i="1"/>
  <c r="B2876" i="1"/>
  <c r="B2877" i="1"/>
  <c r="B2878" i="1"/>
  <c r="B2879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6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6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</calcChain>
</file>

<file path=xl/sharedStrings.xml><?xml version="1.0" encoding="utf-8"?>
<sst xmlns="http://schemas.openxmlformats.org/spreadsheetml/2006/main" count="4410" uniqueCount="69">
  <si>
    <t>Артикул</t>
  </si>
  <si>
    <t>Номенклатура</t>
  </si>
  <si>
    <t>Группа</t>
  </si>
  <si>
    <t>Цена до акции с НДС за шт.</t>
  </si>
  <si>
    <t>Размер скидки</t>
  </si>
  <si>
    <t>Трубки , шлагни, уплотнительные профили</t>
  </si>
  <si>
    <t>Метизы,Сальники,Уплотнительные кольца</t>
  </si>
  <si>
    <t>Подшипники</t>
  </si>
  <si>
    <t>Электрика и  детали эл.проводки</t>
  </si>
  <si>
    <t>Лампы, реле и предохранители</t>
  </si>
  <si>
    <t>Диагностика</t>
  </si>
  <si>
    <t>Специнструмент</t>
  </si>
  <si>
    <t>Прочее</t>
  </si>
  <si>
    <t>Фары и освещение</t>
  </si>
  <si>
    <t>Патрубки, резиновые и пластиковые  детали</t>
  </si>
  <si>
    <t>КАБИНА</t>
  </si>
  <si>
    <t>Детали Автобусов</t>
  </si>
  <si>
    <t>Детали Двигателя</t>
  </si>
  <si>
    <t>Воздушный фильтр и воздухозаборник</t>
  </si>
  <si>
    <t>Детали  Системы Охлаждения</t>
  </si>
  <si>
    <t>Топливная система</t>
  </si>
  <si>
    <t>Выхлопная система</t>
  </si>
  <si>
    <t>Выключатели</t>
  </si>
  <si>
    <t>Электронные блоки управления</t>
  </si>
  <si>
    <t>Датчики ,Индикаторы</t>
  </si>
  <si>
    <t>Стеклоочиститель и омыватель</t>
  </si>
  <si>
    <t>Телематика и тахографы</t>
  </si>
  <si>
    <t>Отопитель кабины и кондиционер</t>
  </si>
  <si>
    <t>Детали Сцепления</t>
  </si>
  <si>
    <t xml:space="preserve">Детали КПП </t>
  </si>
  <si>
    <t>Детали приводных мостов</t>
  </si>
  <si>
    <t>Карданные валы и их части</t>
  </si>
  <si>
    <t>Бампер, Крепление кабины,кронштейны на раме</t>
  </si>
  <si>
    <t>Детали Рамы и сцепные устройства</t>
  </si>
  <si>
    <t>Детали Подвески</t>
  </si>
  <si>
    <t>Детали неприводных мостов</t>
  </si>
  <si>
    <t xml:space="preserve">Колесные диски, болты </t>
  </si>
  <si>
    <t>Рулевое управление, ГУР</t>
  </si>
  <si>
    <t>Тормозная система</t>
  </si>
  <si>
    <t xml:space="preserve">Лобовые стекла </t>
  </si>
  <si>
    <t xml:space="preserve">Автобусные стекла </t>
  </si>
  <si>
    <t>Штуцеры и соединители</t>
  </si>
  <si>
    <t>Детали подвески</t>
  </si>
  <si>
    <t xml:space="preserve">Аксессуары </t>
  </si>
  <si>
    <t>Спеццена с 13.06.2024 с НДС за шт.</t>
  </si>
  <si>
    <t>Детали сцепления и КПП</t>
  </si>
  <si>
    <t>Детали подвески и рулевой системы</t>
  </si>
  <si>
    <t>Детали кабины</t>
  </si>
  <si>
    <t>Детали трансмиссии</t>
  </si>
  <si>
    <t>Детали тормозной системы</t>
  </si>
  <si>
    <t>=HYPERLINK("https://parts-sales.ru/parts/MAN/80996030325";"Насадка торцового ключа SW36 3/8"")</t>
  </si>
  <si>
    <t>=HYPERLINK("https://parts-sales.ru/parts/MAN/80996030421";"Вставной гаечный ключ 14KT SW75 3/8"")</t>
  </si>
  <si>
    <t>=HYPERLINK("https://parts-sales.ru/parts/MAN/81427106203";"Рем компл седельного устр-ва 3 1/2"")</t>
  </si>
  <si>
    <t>=HYPERLINK("https://parts-sales.ru/parts/MAN/81427106206";"Рем компл седельного устр-ва 2"")</t>
  </si>
  <si>
    <t>=HYPERLINK("https://parts-sales.ru/parts/MAN/81427500003";"Износное кольцо 3 1/2"")</t>
  </si>
  <si>
    <t>=HYPERLINK("https://parts-sales.ru/parts/MAN/81282106030";"Монитор SDA 7"")</t>
  </si>
  <si>
    <t>=HYPERLINK("https://parts-sales.ru/parts/MAN/81504109540";"Торм. цил-р с пруж. энергоакк. 24"/24"")</t>
  </si>
  <si>
    <t>=HYPERLINK("https://parts-sales.ru/parts/MAN/81504109918";"Торм. цил-р с пруж. энергоакк. 20/24"")</t>
  </si>
  <si>
    <t>=HYPERLINK("https://parts-sales.ru/parts/MAN/81504109919";"Торм. цил-р с пруж. энергоакк. 20/24"")</t>
  </si>
  <si>
    <t>=HYPERLINK("https://parts-sales.ru/parts/MAN/81508030070";"Диск тормозного механизма 22,5"")</t>
  </si>
  <si>
    <t>=HYPERLINK("https://parts-sales.ru/parts/MAN/81511016455";"Тормозной цилиндр 27"")</t>
  </si>
  <si>
    <t>=HYPERLINK("https://parts-sales.ru/parts/MAN/81511016481";"Тормозной цилиндр 27 "")</t>
  </si>
  <si>
    <t>=HYPERLINK("https://parts-sales.ru/parts/MAN/81981806026";"Сцепление 5/16" GST")</t>
  </si>
  <si>
    <t>=HYPERLINK("https://parts-sales.ru/parts/MAN/81981806032";"Штекерный разъем NW6 SAE 5/16"")</t>
  </si>
  <si>
    <t>=HYPERLINK("https://parts-sales.ru/parts/MAN/81981806037";"Сцепление 1/4"")</t>
  </si>
  <si>
    <t>=HYPERLINK("https://parts-sales.ru/parts/MAN/81981806041";"Сцепление 3/8" 90°")</t>
  </si>
  <si>
    <t>=HYPERLINK("https://parts-sales.ru/parts/MAN/83282106578";"Монитор 19"")</t>
  </si>
  <si>
    <t>=HYPERLINK("https://parts-sales.ru/parts/MAN/81504106918";"Торм. цил-р с пруж. энергоакк. 20/24"")</t>
  </si>
  <si>
    <t>=HYPERLINK("https://parts-sales.ru/parts/MAN/81508030042";"Диск тормозного механизма 17,5"")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</si>
</sst>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"/>
      <name val="Franklin Gothic Boo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2" fontId="1" fillId="2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43" fontId="3" fillId="0" borderId="0" xfId="1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43" fontId="3" fillId="2" borderId="0" xfId="1" applyNumberFormat="1" applyFont="1" applyFill="1" applyBorder="1" applyAlignment="1">
      <alignment horizontal="right"/>
    </xf>
    <xf numFmtId="9" fontId="1" fillId="2" borderId="0" xfId="2" applyFont="1" applyFill="1" applyBorder="1" applyAlignment="1">
      <alignment horizontal="left" vertical="center" wrapText="1"/>
    </xf>
    <xf numFmtId="9" fontId="3" fillId="0" borderId="0" xfId="2" applyFont="1" applyBorder="1" applyAlignment="1">
      <alignment horizontal="right"/>
    </xf>
    <xf numFmtId="9" fontId="3" fillId="2" borderId="0" xfId="2" applyFont="1" applyFill="1" applyBorder="1" applyAlignment="1">
      <alignment horizontal="right"/>
    </xf>
    <xf numFmtId="9" fontId="0" fillId="0" borderId="0" xfId="2" applyFont="1"/>
    <xf numFmtId="0" fontId="4" fillId="0" borderId="0" xfId="3"/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6"/>
  <sheetViews>
    <sheetView tabSelected="1" workbookViewId="0">
      <selection sqref="A1:F4386"/>
    </sheetView>
  </sheetViews>
  <sheetFormatPr defaultRowHeight="15" x14ac:dyDescent="0.25"/>
  <cols>
    <col min="1" max="1" width="16.7109375" bestFit="1" customWidth="1"/>
    <col min="2" max="2" width="59.7109375" bestFit="1" customWidth="1"/>
    <col min="3" max="3" width="47.85546875" bestFit="1" customWidth="1"/>
    <col min="4" max="5" width="15.85546875" bestFit="1" customWidth="1"/>
    <col min="6" max="6" width="10.28515625" style="10" customWidth="1"/>
    <col min="7" max="7" width="22.7109375" bestFit="1" customWidth="1"/>
    <col min="9" max="9" width="12.28515625" bestFit="1" customWidth="1"/>
    <col min="10" max="10" width="6.28515625" customWidth="1"/>
    <col min="11" max="11" width="21.85546875" bestFit="1" customWidth="1"/>
  </cols>
  <sheetData>
    <row r="1" spans="1:13" ht="47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44</v>
      </c>
      <c r="F1" s="7" t="s">
        <v>4</v>
      </c>
    </row>
    <row r="2" spans="1:13" ht="15.75" x14ac:dyDescent="0.3">
      <c r="A2" s="12" t="str">
        <f>HYPERLINK("https://parts-sales.ru/parts/MAN/01942692150","01.94269-2150")</f>
        <v>01.94269-2150</v>
      </c>
      <c r="B2" s="12" t="str">
        <f>HYPERLINK("https://parts-sales.ru/parts/MAN/01942692150","Стальная труба 6X1D4-T3X6000-X6CRNITI181")</f>
        <v>Стальная труба 6X1D4-T3X6000-X6CRNITI181</v>
      </c>
      <c r="C2" s="3" t="s">
        <v>5</v>
      </c>
      <c r="D2" s="4">
        <v>5227.2</v>
      </c>
      <c r="E2" s="4">
        <v>1005</v>
      </c>
      <c r="F2" s="8">
        <v>0.81</v>
      </c>
      <c r="H2" s="11"/>
      <c r="I2" s="11"/>
      <c r="J2" s="11"/>
      <c r="K2" s="11"/>
      <c r="M2" s="3"/>
    </row>
    <row r="3" spans="1:13" ht="15.75" x14ac:dyDescent="0.3">
      <c r="A3" s="13" t="str">
        <f>HYPERLINK("https://parts-sales.ru/parts/MAN/01942692155","01.94269-2155")</f>
        <v>01.94269-2155</v>
      </c>
      <c r="B3" s="13" t="str">
        <f>HYPERLINK("https://parts-sales.ru/parts/MAN/01942692155","Стальная труба 12X1D4-T3X6000-X6CRNITI18")</f>
        <v>Стальная труба 12X1D4-T3X6000-X6CRNITI18</v>
      </c>
      <c r="C3" s="5" t="s">
        <v>5</v>
      </c>
      <c r="D3" s="6">
        <v>6243.6</v>
      </c>
      <c r="E3" s="6">
        <v>1502</v>
      </c>
      <c r="F3" s="9">
        <v>0.76</v>
      </c>
      <c r="H3" s="11"/>
      <c r="I3" s="11"/>
      <c r="J3" s="11"/>
    </row>
    <row r="4" spans="1:13" ht="15.75" x14ac:dyDescent="0.3">
      <c r="A4" s="12" t="str">
        <f>HYPERLINK("https://parts-sales.ru/parts/MAN/01980909001","01.98090-9001")</f>
        <v>01.98090-9001</v>
      </c>
      <c r="B4" s="12" t="str">
        <f>HYPERLINK("https://parts-sales.ru/parts/MAN/01980909001","Стальная труба B8X6000-FE/ZN20C")</f>
        <v>Стальная труба B8X6000-FE/ZN20C</v>
      </c>
      <c r="C4" s="3" t="s">
        <v>5</v>
      </c>
      <c r="D4" s="4">
        <v>2240.4</v>
      </c>
      <c r="E4" s="4">
        <v>267</v>
      </c>
      <c r="F4" s="8">
        <v>0.88</v>
      </c>
      <c r="H4" s="11"/>
      <c r="I4" s="11"/>
      <c r="J4" s="11"/>
    </row>
    <row r="5" spans="1:13" ht="15.75" x14ac:dyDescent="0.3">
      <c r="A5" s="13" t="str">
        <f>HYPERLINK("https://parts-sales.ru/parts/MAN/01987633005","01.98763-3005")</f>
        <v>01.98763-3005</v>
      </c>
      <c r="B5" s="13" t="str">
        <f>HYPERLINK("https://parts-sales.ru/parts/MAN/01987633005","Кормифлексная труба 30,2X1,7X20000-A2")</f>
        <v>Кормифлексная труба 30,2X1,7X20000-A2</v>
      </c>
      <c r="C5" s="5" t="s">
        <v>5</v>
      </c>
      <c r="D5" s="6">
        <v>11199.6</v>
      </c>
      <c r="E5" s="6">
        <v>2861</v>
      </c>
      <c r="F5" s="9">
        <v>0.74</v>
      </c>
      <c r="H5" s="11"/>
      <c r="I5" s="11"/>
      <c r="J5" s="11"/>
    </row>
    <row r="6" spans="1:13" ht="15.75" x14ac:dyDescent="0.3">
      <c r="A6" s="12" t="str">
        <f>HYPERLINK("https://parts-sales.ru/parts/MAN/01993612272","01.99361-2272")</f>
        <v>01.99361-2272</v>
      </c>
      <c r="B6" s="12" t="str">
        <f>HYPERLINK("https://parts-sales.ru/parts/MAN/01993612272","Стальная квадратная труба 45X45X3X6000F-")</f>
        <v>Стальная квадратная труба 45X45X3X6000F-</v>
      </c>
      <c r="C6" s="3" t="s">
        <v>5</v>
      </c>
      <c r="D6" s="4">
        <v>6406.8</v>
      </c>
      <c r="E6" s="4">
        <v>1144</v>
      </c>
      <c r="F6" s="8">
        <v>0.82</v>
      </c>
      <c r="H6" s="11"/>
      <c r="I6" s="11"/>
      <c r="J6" s="11"/>
    </row>
    <row r="7" spans="1:13" ht="15.75" x14ac:dyDescent="0.3">
      <c r="A7" s="13" t="str">
        <f>HYPERLINK("https://parts-sales.ru/parts/MAN/01997595004","01.99759-5004")</f>
        <v>01.99759-5004</v>
      </c>
      <c r="B7" s="13" t="str">
        <f>HYPERLINK("https://parts-sales.ru/parts/MAN/01997595004","Стальная труба прямоуг. сеч. 40X30X2X600")</f>
        <v>Стальная труба прямоуг. сеч. 40X30X2X600</v>
      </c>
      <c r="C7" s="5" t="s">
        <v>5</v>
      </c>
      <c r="D7" s="6">
        <v>3200.4</v>
      </c>
      <c r="E7" s="6">
        <v>484</v>
      </c>
      <c r="F7" s="9">
        <v>0.85</v>
      </c>
      <c r="H7" s="11"/>
      <c r="I7" s="11"/>
      <c r="J7" s="11"/>
    </row>
    <row r="8" spans="1:13" ht="15.75" x14ac:dyDescent="0.3">
      <c r="A8" s="12" t="str">
        <f>HYPERLINK("https://parts-sales.ru/parts/MAN/03393119244","03.39311-9244")</f>
        <v>03.39311-9244</v>
      </c>
      <c r="B8" s="12" t="str">
        <f>HYPERLINK("https://parts-sales.ru/parts/MAN/03393119244","Профиль")</f>
        <v>Профиль</v>
      </c>
      <c r="C8" s="3" t="s">
        <v>5</v>
      </c>
      <c r="D8" s="4">
        <v>4044</v>
      </c>
      <c r="E8" s="4">
        <v>670</v>
      </c>
      <c r="F8" s="8">
        <v>0.83</v>
      </c>
      <c r="H8" s="11"/>
      <c r="I8" s="11"/>
      <c r="J8" s="11"/>
    </row>
    <row r="9" spans="1:13" ht="15.75" x14ac:dyDescent="0.3">
      <c r="A9" s="13" t="str">
        <f>HYPERLINK("https://parts-sales.ru/parts/MAN/03393129125","03.39312-9125")</f>
        <v>03.39312-9125</v>
      </c>
      <c r="B9" s="13" t="str">
        <f>HYPERLINK("https://parts-sales.ru/parts/MAN/03393129125","Профиль")</f>
        <v>Профиль</v>
      </c>
      <c r="C9" s="5" t="s">
        <v>5</v>
      </c>
      <c r="D9" s="6">
        <v>2187.6</v>
      </c>
      <c r="E9" s="6">
        <v>350</v>
      </c>
      <c r="F9" s="9">
        <v>0.84</v>
      </c>
      <c r="H9" s="11"/>
      <c r="I9" s="11"/>
      <c r="J9" s="11"/>
    </row>
    <row r="10" spans="1:13" ht="15.75" x14ac:dyDescent="0.3">
      <c r="A10" s="12" t="str">
        <f>HYPERLINK("https://parts-sales.ru/parts/MAN/03393129560","03.39312-9560")</f>
        <v>03.39312-9560</v>
      </c>
      <c r="B10" s="12" t="str">
        <f>HYPERLINK("https://parts-sales.ru/parts/MAN/03393129560","Защитный профиль 30X100X4000#")</f>
        <v>Защитный профиль 30X100X4000#</v>
      </c>
      <c r="C10" s="3" t="s">
        <v>5</v>
      </c>
      <c r="D10" s="4">
        <v>15742.8</v>
      </c>
      <c r="E10" s="4">
        <v>3238</v>
      </c>
      <c r="F10" s="8">
        <v>0.79</v>
      </c>
      <c r="H10" s="11"/>
      <c r="I10" s="11"/>
      <c r="J10" s="11"/>
    </row>
    <row r="11" spans="1:13" ht="15.75" x14ac:dyDescent="0.3">
      <c r="A11" s="13" t="str">
        <f>HYPERLINK("https://parts-sales.ru/parts/MAN/04271020320","04.27102-0320")</f>
        <v>04.27102-0320</v>
      </c>
      <c r="B11" s="13" t="str">
        <f>HYPERLINK("https://parts-sales.ru/parts/MAN/04271020320","Гофрированный шланг 32X3X10000-ST/TPE-O")</f>
        <v>Гофрированный шланг 32X3X10000-ST/TPE-O</v>
      </c>
      <c r="C11" s="5" t="s">
        <v>5</v>
      </c>
      <c r="D11" s="6">
        <v>13845.6</v>
      </c>
      <c r="E11" s="6">
        <v>2048</v>
      </c>
      <c r="F11" s="9">
        <v>0.85</v>
      </c>
      <c r="H11" s="11"/>
      <c r="I11" s="11"/>
      <c r="J11" s="11"/>
    </row>
    <row r="12" spans="1:13" ht="15.75" x14ac:dyDescent="0.3">
      <c r="A12" s="12" t="str">
        <f>HYPERLINK("https://parts-sales.ru/parts/MAN/04271050800","04.27105-0800")</f>
        <v>04.27105-0800</v>
      </c>
      <c r="B12" s="12" t="str">
        <f>HYPERLINK("https://parts-sales.ru/parts/MAN/04271050800","Шланг высокого давления 4X2,1X50000-PUR/")</f>
        <v>Шланг высокого давления 4X2,1X50000-PUR/</v>
      </c>
      <c r="C12" s="3" t="s">
        <v>5</v>
      </c>
      <c r="D12" s="4">
        <v>516</v>
      </c>
      <c r="E12" s="4">
        <v>207</v>
      </c>
      <c r="F12" s="8">
        <v>0.6</v>
      </c>
      <c r="H12" s="11"/>
      <c r="I12" s="11"/>
      <c r="J12" s="11"/>
    </row>
    <row r="13" spans="1:13" ht="15.75" x14ac:dyDescent="0.3">
      <c r="A13" s="13" t="str">
        <f>HYPERLINK("https://parts-sales.ru/parts/MAN/04271051005","04.27105-1005")</f>
        <v>04.27105-1005</v>
      </c>
      <c r="B13" s="13" t="str">
        <f>HYPERLINK("https://parts-sales.ru/parts/MAN/04271051005","Топливопровод 5,5X3XROL-SW")</f>
        <v>Топливопровод 5,5X3XROL-SW</v>
      </c>
      <c r="C13" s="5" t="s">
        <v>5</v>
      </c>
      <c r="D13" s="6">
        <v>3969.6</v>
      </c>
      <c r="E13" s="6">
        <v>897</v>
      </c>
      <c r="F13" s="9">
        <v>0.77</v>
      </c>
      <c r="H13" s="11"/>
      <c r="I13" s="11"/>
      <c r="J13" s="11"/>
    </row>
    <row r="14" spans="1:13" ht="15.75" x14ac:dyDescent="0.3">
      <c r="A14" s="12" t="str">
        <f>HYPERLINK("https://parts-sales.ru/parts/MAN/04271991006","04.27199-1006")</f>
        <v>04.27199-1006</v>
      </c>
      <c r="B14" s="12" t="str">
        <f>HYPERLINK("https://parts-sales.ru/parts/MAN/04271991006","Шланг N1-6")</f>
        <v>Шланг N1-6</v>
      </c>
      <c r="C14" s="3" t="s">
        <v>5</v>
      </c>
      <c r="D14" s="4">
        <v>3495.6</v>
      </c>
      <c r="E14" s="4">
        <v>864</v>
      </c>
      <c r="F14" s="8">
        <v>0.75</v>
      </c>
      <c r="H14" s="11"/>
      <c r="I14" s="11"/>
      <c r="J14" s="11"/>
    </row>
    <row r="15" spans="1:13" ht="15.75" x14ac:dyDescent="0.3">
      <c r="A15" s="13" t="str">
        <f>HYPERLINK("https://parts-sales.ru/parts/MAN/04271991020","04.27199-1020")</f>
        <v>04.27199-1020</v>
      </c>
      <c r="B15" s="13" t="str">
        <f>HYPERLINK("https://parts-sales.ru/parts/MAN/04271991020","Шланг N1-20")</f>
        <v>Шланг N1-20</v>
      </c>
      <c r="C15" s="5" t="s">
        <v>5</v>
      </c>
      <c r="D15" s="6">
        <v>7860</v>
      </c>
      <c r="E15" s="6">
        <v>1868</v>
      </c>
      <c r="F15" s="9">
        <v>0.76</v>
      </c>
      <c r="H15" s="11"/>
      <c r="I15" s="11"/>
      <c r="J15" s="11"/>
    </row>
    <row r="16" spans="1:13" ht="15.75" x14ac:dyDescent="0.3">
      <c r="A16" s="12" t="str">
        <f>HYPERLINK("https://parts-sales.ru/parts/MAN/04271991032","04.27199-1032")</f>
        <v>04.27199-1032</v>
      </c>
      <c r="B16" s="12" t="str">
        <f>HYPERLINK("https://parts-sales.ru/parts/MAN/04271991032","Шланг N1-32")</f>
        <v>Шланг N1-32</v>
      </c>
      <c r="C16" s="3" t="s">
        <v>5</v>
      </c>
      <c r="D16" s="4">
        <v>24210</v>
      </c>
      <c r="E16" s="4">
        <v>4782</v>
      </c>
      <c r="F16" s="8">
        <v>0.8</v>
      </c>
      <c r="H16" s="11"/>
      <c r="I16" s="11"/>
      <c r="J16" s="11"/>
    </row>
    <row r="17" spans="1:10" ht="15.75" x14ac:dyDescent="0.3">
      <c r="A17" s="13" t="str">
        <f>HYPERLINK("https://parts-sales.ru/parts/MAN/04274051055","04.27405-1055")</f>
        <v>04.27405-1055</v>
      </c>
      <c r="B17" s="13" t="str">
        <f>HYPERLINK("https://parts-sales.ru/parts/MAN/04274051055","Шланг 5,5-7L")</f>
        <v>Шланг 5,5-7L</v>
      </c>
      <c r="C17" s="5" t="s">
        <v>5</v>
      </c>
      <c r="D17" s="6">
        <v>6820.8</v>
      </c>
      <c r="E17" s="6">
        <v>2838</v>
      </c>
      <c r="F17" s="9">
        <v>0.57999999999999996</v>
      </c>
      <c r="H17" s="11"/>
      <c r="I17" s="11"/>
      <c r="J17" s="11"/>
    </row>
    <row r="18" spans="1:10" ht="15.75" x14ac:dyDescent="0.3">
      <c r="A18" s="12" t="str">
        <f>HYPERLINK("https://parts-sales.ru/parts/MAN/04274059502","04.27405-9502")</f>
        <v>04.27405-9502</v>
      </c>
      <c r="B18" s="12" t="str">
        <f>HYPERLINK("https://parts-sales.ru/parts/MAN/04274059502","Шланг охлаждающей жидкости 10X20000-5")</f>
        <v>Шланг охлаждающей жидкости 10X20000-5</v>
      </c>
      <c r="C18" s="3" t="s">
        <v>5</v>
      </c>
      <c r="D18" s="4">
        <v>4401.6000000000004</v>
      </c>
      <c r="E18" s="4">
        <v>1074</v>
      </c>
      <c r="F18" s="8">
        <v>0.76</v>
      </c>
      <c r="H18" s="11"/>
      <c r="I18" s="11"/>
      <c r="J18" s="11"/>
    </row>
    <row r="19" spans="1:10" ht="15.75" x14ac:dyDescent="0.3">
      <c r="A19" s="13" t="str">
        <f>HYPERLINK("https://parts-sales.ru/parts/MAN/04274059504","04.27405-9504")</f>
        <v>04.27405-9504</v>
      </c>
      <c r="B19" s="13" t="str">
        <f>HYPERLINK("https://parts-sales.ru/parts/MAN/04274059504","Шланг охлаждающей жидкости 15X20000-5")</f>
        <v>Шланг охлаждающей жидкости 15X20000-5</v>
      </c>
      <c r="C19" s="5" t="s">
        <v>5</v>
      </c>
      <c r="D19" s="6">
        <v>8338.7999999999993</v>
      </c>
      <c r="E19" s="6">
        <v>1602</v>
      </c>
      <c r="F19" s="9">
        <v>0.81</v>
      </c>
      <c r="H19" s="11"/>
      <c r="I19" s="11"/>
      <c r="J19" s="11"/>
    </row>
    <row r="20" spans="1:10" ht="15.75" x14ac:dyDescent="0.3">
      <c r="A20" s="12" t="str">
        <f>HYPERLINK("https://parts-sales.ru/parts/MAN/04274059510","04.27405-9510")</f>
        <v>04.27405-9510</v>
      </c>
      <c r="B20" s="12" t="str">
        <f>HYPERLINK("https://parts-sales.ru/parts/MAN/04274059510","Шланг охлаждающей жидкости 10X2000-5")</f>
        <v>Шланг охлаждающей жидкости 10X2000-5</v>
      </c>
      <c r="C20" s="3" t="s">
        <v>5</v>
      </c>
      <c r="D20" s="4">
        <v>4545.6000000000004</v>
      </c>
      <c r="E20" s="4">
        <v>176</v>
      </c>
      <c r="F20" s="8">
        <v>0.96</v>
      </c>
      <c r="H20" s="11"/>
      <c r="I20" s="11"/>
      <c r="J20" s="11"/>
    </row>
    <row r="21" spans="1:10" ht="15.75" x14ac:dyDescent="0.3">
      <c r="A21" s="13" t="str">
        <f>HYPERLINK("https://parts-sales.ru/parts/MAN/04274059511","04.27405-9511")</f>
        <v>04.27405-9511</v>
      </c>
      <c r="B21" s="13" t="str">
        <f>HYPERLINK("https://parts-sales.ru/parts/MAN/04274059511","Шланг охлаждающей жидкости 18X10000-5")</f>
        <v>Шланг охлаждающей жидкости 18X10000-5</v>
      </c>
      <c r="C21" s="5" t="s">
        <v>5</v>
      </c>
      <c r="D21" s="6">
        <v>10942.8</v>
      </c>
      <c r="E21" s="6">
        <v>1641</v>
      </c>
      <c r="F21" s="9">
        <v>0.85</v>
      </c>
      <c r="H21" s="11"/>
      <c r="I21" s="11"/>
      <c r="J21" s="11"/>
    </row>
    <row r="22" spans="1:10" ht="15.75" x14ac:dyDescent="0.3">
      <c r="A22" s="12" t="str">
        <f>HYPERLINK("https://parts-sales.ru/parts/MAN/04274059519","04.27405-9519")</f>
        <v>04.27405-9519</v>
      </c>
      <c r="B22" s="12" t="str">
        <f>HYPERLINK("https://parts-sales.ru/parts/MAN/04274059519","Шланг охлаждающей жидкости 22X10000-5")</f>
        <v>Шланг охлаждающей жидкости 22X10000-5</v>
      </c>
      <c r="C22" s="3" t="s">
        <v>5</v>
      </c>
      <c r="D22" s="4">
        <v>11008.66</v>
      </c>
      <c r="E22" s="4">
        <v>4598</v>
      </c>
      <c r="F22" s="8">
        <v>0.57999999999999996</v>
      </c>
      <c r="H22" s="11"/>
      <c r="I22" s="11"/>
      <c r="J22" s="11"/>
    </row>
    <row r="23" spans="1:10" ht="15.75" x14ac:dyDescent="0.3">
      <c r="A23" s="13" t="str">
        <f>HYPERLINK("https://parts-sales.ru/parts/MAN/04274059527","04.27405-9527")</f>
        <v>04.27405-9527</v>
      </c>
      <c r="B23" s="13" t="str">
        <f>HYPERLINK("https://parts-sales.ru/parts/MAN/04274059527","Шланг охлаждающей жидкости 30X10000-5")</f>
        <v>Шланг охлаждающей жидкости 30X10000-5</v>
      </c>
      <c r="C23" s="5" t="s">
        <v>5</v>
      </c>
      <c r="D23" s="6">
        <v>12302.4</v>
      </c>
      <c r="E23" s="6">
        <v>2865</v>
      </c>
      <c r="F23" s="9">
        <v>0.77</v>
      </c>
      <c r="H23" s="11"/>
      <c r="I23" s="11"/>
      <c r="J23" s="11"/>
    </row>
    <row r="24" spans="1:10" ht="15.75" x14ac:dyDescent="0.3">
      <c r="A24" s="12" t="str">
        <f>HYPERLINK("https://parts-sales.ru/parts/MAN/04274059822","04.27405-9822")</f>
        <v>04.27405-9822</v>
      </c>
      <c r="B24" s="12" t="str">
        <f>HYPERLINK("https://parts-sales.ru/parts/MAN/04274059822","Шланг охлаждающей жидкости 22-8")</f>
        <v>Шланг охлаждающей жидкости 22-8</v>
      </c>
      <c r="C24" s="3" t="s">
        <v>5</v>
      </c>
      <c r="D24" s="4">
        <v>5532</v>
      </c>
      <c r="E24" s="4">
        <v>1128</v>
      </c>
      <c r="F24" s="8">
        <v>0.8</v>
      </c>
      <c r="H24" s="11"/>
      <c r="I24" s="11"/>
      <c r="J24" s="11"/>
    </row>
    <row r="25" spans="1:10" ht="15.75" x14ac:dyDescent="0.3">
      <c r="A25" s="13" t="str">
        <f>HYPERLINK("https://parts-sales.ru/parts/MAN/04274059860","04.27405-9860")</f>
        <v>04.27405-9860</v>
      </c>
      <c r="B25" s="13" t="str">
        <f>HYPERLINK("https://parts-sales.ru/parts/MAN/04274059860","Шланг охлаждающей жидкости 60X1000-8")</f>
        <v>Шланг охлаждающей жидкости 60X1000-8</v>
      </c>
      <c r="C25" s="5" t="s">
        <v>5</v>
      </c>
      <c r="D25" s="6">
        <v>15994.8</v>
      </c>
      <c r="E25" s="6">
        <v>9569</v>
      </c>
      <c r="F25" s="9">
        <v>0.4</v>
      </c>
      <c r="H25" s="11"/>
      <c r="I25" s="11"/>
      <c r="J25" s="11"/>
    </row>
    <row r="26" spans="1:10" ht="15.75" x14ac:dyDescent="0.3">
      <c r="A26" s="12" t="str">
        <f>HYPERLINK("https://parts-sales.ru/parts/MAN/04275051003","04.27505-1003")</f>
        <v>04.27505-1003</v>
      </c>
      <c r="B26" s="12" t="str">
        <f>HYPERLINK("https://parts-sales.ru/parts/MAN/04275051003","Топливный шланг 3,5X3-P1")</f>
        <v>Топливный шланг 3,5X3-P1</v>
      </c>
      <c r="C26" s="3" t="s">
        <v>5</v>
      </c>
      <c r="D26" s="4">
        <v>1883.4</v>
      </c>
      <c r="E26" s="4">
        <v>1126</v>
      </c>
      <c r="F26" s="8">
        <v>0.4</v>
      </c>
      <c r="H26" s="11"/>
      <c r="I26" s="11"/>
      <c r="J26" s="11"/>
    </row>
    <row r="27" spans="1:10" ht="15.75" x14ac:dyDescent="0.3">
      <c r="A27" s="13" t="str">
        <f>HYPERLINK("https://parts-sales.ru/parts/MAN/04275051007","04.27505-1007")</f>
        <v>04.27505-1007</v>
      </c>
      <c r="B27" s="13" t="str">
        <f>HYPERLINK("https://parts-sales.ru/parts/MAN/04275051007","Топливный шланг 5X3-P1")</f>
        <v>Топливный шланг 5X3-P1</v>
      </c>
      <c r="C27" s="5" t="s">
        <v>5</v>
      </c>
      <c r="D27" s="6">
        <v>6956.4</v>
      </c>
      <c r="E27" s="6">
        <v>942</v>
      </c>
      <c r="F27" s="9">
        <v>0.86</v>
      </c>
      <c r="H27" s="11"/>
      <c r="I27" s="11"/>
      <c r="J27" s="11"/>
    </row>
    <row r="28" spans="1:10" ht="15.75" x14ac:dyDescent="0.3">
      <c r="A28" s="12" t="str">
        <f>HYPERLINK("https://parts-sales.ru/parts/MAN/04293000204","04.29300-0204")</f>
        <v>04.29300-0204</v>
      </c>
      <c r="B28" s="12" t="str">
        <f>HYPERLINK("https://parts-sales.ru/parts/MAN/04293000204","Облицовочный профиль")</f>
        <v>Облицовочный профиль</v>
      </c>
      <c r="C28" s="3" t="s">
        <v>5</v>
      </c>
      <c r="D28" s="4">
        <v>2374.8000000000002</v>
      </c>
      <c r="E28" s="4">
        <v>424</v>
      </c>
      <c r="F28" s="8">
        <v>0.82</v>
      </c>
      <c r="H28" s="11"/>
      <c r="I28" s="11"/>
      <c r="J28" s="11"/>
    </row>
    <row r="29" spans="1:10" ht="15.75" x14ac:dyDescent="0.3">
      <c r="A29" s="13" t="str">
        <f>HYPERLINK("https://parts-sales.ru/parts/MAN/04293000263","04.29300-0263")</f>
        <v>04.29300-0263</v>
      </c>
      <c r="B29" s="13" t="str">
        <f>HYPERLINK("https://parts-sales.ru/parts/MAN/04293000263","Уплотнительный профиль 18X14X100000-EPDM")</f>
        <v>Уплотнительный профиль 18X14X100000-EPDM</v>
      </c>
      <c r="C29" s="5" t="s">
        <v>5</v>
      </c>
      <c r="D29" s="6">
        <v>2349.6</v>
      </c>
      <c r="E29" s="6">
        <v>397</v>
      </c>
      <c r="F29" s="9">
        <v>0.83</v>
      </c>
      <c r="H29" s="11"/>
      <c r="I29" s="11"/>
      <c r="J29" s="11"/>
    </row>
    <row r="30" spans="1:10" ht="15.75" x14ac:dyDescent="0.3">
      <c r="A30" s="12" t="str">
        <f>HYPERLINK("https://parts-sales.ru/parts/MAN/04293000297","04.29300-0297")</f>
        <v>04.29300-0297</v>
      </c>
      <c r="B30" s="12" t="str">
        <f>HYPERLINK("https://parts-sales.ru/parts/MAN/04293000297","Уплотнительный профиль")</f>
        <v>Уплотнительный профиль</v>
      </c>
      <c r="C30" s="3" t="s">
        <v>5</v>
      </c>
      <c r="D30" s="4">
        <v>3286.8</v>
      </c>
      <c r="E30" s="4">
        <v>658</v>
      </c>
      <c r="F30" s="8">
        <v>0.8</v>
      </c>
      <c r="H30" s="11"/>
      <c r="I30" s="11"/>
      <c r="J30" s="11"/>
    </row>
    <row r="31" spans="1:10" ht="15.75" x14ac:dyDescent="0.3">
      <c r="A31" s="13" t="str">
        <f>HYPERLINK("https://parts-sales.ru/parts/MAN/04293000313","04.29300-0313")</f>
        <v>04.29300-0313</v>
      </c>
      <c r="B31" s="13" t="str">
        <f>HYPERLINK("https://parts-sales.ru/parts/MAN/04293000313","Уплотнительный профиль самоклеящийся")</f>
        <v>Уплотнительный профиль самоклеящийся</v>
      </c>
      <c r="C31" s="5" t="s">
        <v>5</v>
      </c>
      <c r="D31" s="6">
        <v>4522.8</v>
      </c>
      <c r="E31" s="6">
        <v>1207</v>
      </c>
      <c r="F31" s="9">
        <v>0.73</v>
      </c>
      <c r="H31" s="11"/>
      <c r="I31" s="11"/>
      <c r="J31" s="11"/>
    </row>
    <row r="32" spans="1:10" ht="15.75" x14ac:dyDescent="0.3">
      <c r="A32" s="12" t="str">
        <f>HYPERLINK("https://parts-sales.ru/parts/MAN/04293000756","04.29300-0756")</f>
        <v>04.29300-0756</v>
      </c>
      <c r="B32" s="12" t="str">
        <f>HYPERLINK("https://parts-sales.ru/parts/MAN/04293000756","Шарнирный профиль EPDM")</f>
        <v>Шарнирный профиль EPDM</v>
      </c>
      <c r="C32" s="3" t="s">
        <v>5</v>
      </c>
      <c r="D32" s="4">
        <v>4910.3999999999996</v>
      </c>
      <c r="E32" s="4">
        <v>646</v>
      </c>
      <c r="F32" s="8">
        <v>0.87</v>
      </c>
      <c r="H32" s="11"/>
      <c r="I32" s="11"/>
      <c r="J32" s="11"/>
    </row>
    <row r="33" spans="1:10" ht="15.75" x14ac:dyDescent="0.3">
      <c r="A33" s="13" t="str">
        <f>HYPERLINK("https://parts-sales.ru/parts/MAN/04293000823","04.29300-0823")</f>
        <v>04.29300-0823</v>
      </c>
      <c r="B33" s="13" t="str">
        <f>HYPERLINK("https://parts-sales.ru/parts/MAN/04293000823","Уплотнительный профиль 10000")</f>
        <v>Уплотнительный профиль 10000</v>
      </c>
      <c r="C33" s="5" t="s">
        <v>5</v>
      </c>
      <c r="D33" s="6">
        <v>7732.8</v>
      </c>
      <c r="E33" s="6">
        <v>891</v>
      </c>
      <c r="F33" s="9">
        <v>0.88</v>
      </c>
      <c r="H33" s="11"/>
      <c r="I33" s="11"/>
      <c r="J33" s="11"/>
    </row>
    <row r="34" spans="1:10" ht="15.75" x14ac:dyDescent="0.3">
      <c r="A34" s="12" t="str">
        <f>HYPERLINK("https://parts-sales.ru/parts/MAN/04293050036","04.29305-0036")</f>
        <v>04.29305-0036</v>
      </c>
      <c r="B34" s="12" t="str">
        <f>HYPERLINK("https://parts-sales.ru/parts/MAN/04293050036","Уплотнительный профиль")</f>
        <v>Уплотнительный профиль</v>
      </c>
      <c r="C34" s="3" t="s">
        <v>5</v>
      </c>
      <c r="D34" s="4">
        <v>3936</v>
      </c>
      <c r="E34" s="4">
        <v>714</v>
      </c>
      <c r="F34" s="8">
        <v>0.82</v>
      </c>
      <c r="H34" s="11"/>
      <c r="I34" s="11"/>
      <c r="J34" s="11"/>
    </row>
    <row r="35" spans="1:10" ht="15.75" x14ac:dyDescent="0.3">
      <c r="A35" s="13" t="str">
        <f>HYPERLINK("https://parts-sales.ru/parts/MAN/04296000507","04.29600-0507")</f>
        <v>04.29600-0507</v>
      </c>
      <c r="B35" s="13" t="str">
        <f>HYPERLINK("https://parts-sales.ru/parts/MAN/04296000507","Уплотнительный профиль")</f>
        <v>Уплотнительный профиль</v>
      </c>
      <c r="C35" s="5" t="s">
        <v>5</v>
      </c>
      <c r="D35" s="6">
        <v>1760.4</v>
      </c>
      <c r="E35" s="6">
        <v>308</v>
      </c>
      <c r="F35" s="9">
        <v>0.83</v>
      </c>
      <c r="H35" s="11"/>
      <c r="I35" s="11"/>
      <c r="J35" s="11"/>
    </row>
    <row r="36" spans="1:10" ht="15.75" x14ac:dyDescent="0.3">
      <c r="A36" s="12" t="str">
        <f>HYPERLINK("https://parts-sales.ru/parts/MAN/04296000511","04.29600-0511")</f>
        <v>04.29600-0511</v>
      </c>
      <c r="B36" s="12" t="str">
        <f>HYPERLINK("https://parts-sales.ru/parts/MAN/04296000511","Подкладочный профиль 40X25,5-GI")</f>
        <v>Подкладочный профиль 40X25,5-GI</v>
      </c>
      <c r="C36" s="3" t="s">
        <v>5</v>
      </c>
      <c r="D36" s="4">
        <v>2406</v>
      </c>
      <c r="E36" s="4">
        <v>508</v>
      </c>
      <c r="F36" s="8">
        <v>0.79</v>
      </c>
      <c r="H36" s="11"/>
      <c r="I36" s="11"/>
      <c r="J36" s="11"/>
    </row>
    <row r="37" spans="1:10" ht="15.75" x14ac:dyDescent="0.3">
      <c r="A37" s="13" t="str">
        <f>HYPERLINK("https://parts-sales.ru/parts/MAN/04296000512","04.29600-0512")</f>
        <v>04.29600-0512</v>
      </c>
      <c r="B37" s="13" t="str">
        <f>HYPERLINK("https://parts-sales.ru/parts/MAN/04296000512","Подкладочный профиль 40X2,5X25000-CR1-70")</f>
        <v>Подкладочный профиль 40X2,5X25000-CR1-70</v>
      </c>
      <c r="C37" s="5" t="s">
        <v>5</v>
      </c>
      <c r="D37" s="6">
        <v>4356</v>
      </c>
      <c r="E37" s="6">
        <v>1280</v>
      </c>
      <c r="F37" s="9">
        <v>0.71</v>
      </c>
      <c r="H37" s="11"/>
      <c r="I37" s="11"/>
      <c r="J37" s="11"/>
    </row>
    <row r="38" spans="1:10" ht="15.75" x14ac:dyDescent="0.3">
      <c r="A38" s="12" t="str">
        <f>HYPERLINK("https://parts-sales.ru/parts/MAN/04331389064","04.33138-9064")</f>
        <v>04.33138-9064</v>
      </c>
      <c r="B38" s="12" t="str">
        <f>HYPERLINK("https://parts-sales.ru/parts/MAN/04331389064","Защитная пленка 0,36X100X33000-PUR-TR")</f>
        <v>Защитная пленка 0,36X100X33000-PUR-TR</v>
      </c>
      <c r="C38" s="3" t="s">
        <v>5</v>
      </c>
      <c r="D38" s="4">
        <v>9607.2000000000007</v>
      </c>
      <c r="E38" s="4">
        <v>3401</v>
      </c>
      <c r="F38" s="8">
        <v>0.65</v>
      </c>
      <c r="H38" s="11"/>
      <c r="I38" s="11"/>
      <c r="J38" s="11"/>
    </row>
    <row r="39" spans="1:10" ht="15.75" x14ac:dyDescent="0.3">
      <c r="A39" s="13" t="str">
        <f>HYPERLINK("https://parts-sales.ru/parts/MAN/04351309004","04.35130-9004")</f>
        <v>04.35130-9004</v>
      </c>
      <c r="B39" s="13" t="str">
        <f>HYPERLINK("https://parts-sales.ru/parts/MAN/04351309004","Гофрированная труба 4,5X100000-PP-SW")</f>
        <v>Гофрированная труба 4,5X100000-PP-SW</v>
      </c>
      <c r="C39" s="5" t="s">
        <v>5</v>
      </c>
      <c r="D39" s="6">
        <v>252</v>
      </c>
      <c r="E39" s="6">
        <v>71</v>
      </c>
      <c r="F39" s="9">
        <v>0.72</v>
      </c>
      <c r="H39" s="11"/>
      <c r="I39" s="11"/>
      <c r="J39" s="11"/>
    </row>
    <row r="40" spans="1:10" ht="15.75" x14ac:dyDescent="0.3">
      <c r="A40" s="12" t="str">
        <f>HYPERLINK("https://parts-sales.ru/parts/MAN/04351609010","04.35160-9010")</f>
        <v>04.35160-9010</v>
      </c>
      <c r="B40" s="12" t="str">
        <f>HYPERLINK("https://parts-sales.ru/parts/MAN/04351609010","Полиамидная труба 4X0,85X50000-PA11W-NF")</f>
        <v>Полиамидная труба 4X0,85X50000-PA11W-NF</v>
      </c>
      <c r="C40" s="3" t="s">
        <v>5</v>
      </c>
      <c r="D40" s="4">
        <v>433.2</v>
      </c>
      <c r="E40" s="4">
        <v>73</v>
      </c>
      <c r="F40" s="8">
        <v>0.83</v>
      </c>
      <c r="H40" s="11"/>
      <c r="I40" s="11"/>
      <c r="J40" s="11"/>
    </row>
    <row r="41" spans="1:10" ht="15.75" x14ac:dyDescent="0.3">
      <c r="A41" s="13" t="str">
        <f>HYPERLINK("https://parts-sales.ru/parts/MAN/04351609108","04.35160-9108")</f>
        <v>04.35160-9108</v>
      </c>
      <c r="B41" s="13" t="str">
        <f>HYPERLINK("https://parts-sales.ru/parts/MAN/04351609108","Полиамидная труба 8X1,5-PA11/12PH-NF")</f>
        <v>Полиамидная труба 8X1,5-PA11/12PH-NF</v>
      </c>
      <c r="C41" s="5" t="s">
        <v>5</v>
      </c>
      <c r="D41" s="6">
        <v>652.79999999999995</v>
      </c>
      <c r="E41" s="6">
        <v>202</v>
      </c>
      <c r="F41" s="9">
        <v>0.69</v>
      </c>
      <c r="H41" s="11"/>
      <c r="I41" s="11"/>
      <c r="J41" s="11"/>
    </row>
    <row r="42" spans="1:10" ht="15.75" x14ac:dyDescent="0.3">
      <c r="A42" s="12" t="str">
        <f>HYPERLINK("https://parts-sales.ru/parts/MAN/04351609226","04.35160-9226")</f>
        <v>04.35160-9226</v>
      </c>
      <c r="B42" s="12" t="str">
        <f>HYPERLINK("https://parts-sales.ru/parts/MAN/04351609226","Полиамидная труба 6X2-PA11/12PHL")</f>
        <v>Полиамидная труба 6X2-PA11/12PHL</v>
      </c>
      <c r="C42" s="3" t="s">
        <v>5</v>
      </c>
      <c r="D42" s="4">
        <v>1760.4</v>
      </c>
      <c r="E42" s="4">
        <v>302</v>
      </c>
      <c r="F42" s="8">
        <v>0.83</v>
      </c>
      <c r="H42" s="11"/>
      <c r="I42" s="11"/>
      <c r="J42" s="11"/>
    </row>
    <row r="43" spans="1:10" ht="15.75" x14ac:dyDescent="0.3">
      <c r="A43" s="13" t="str">
        <f>HYPERLINK("https://parts-sales.ru/parts/MAN/04351609604","04.35160-9604")</f>
        <v>04.35160-9604</v>
      </c>
      <c r="B43" s="13" t="str">
        <f>HYPERLINK("https://parts-sales.ru/parts/MAN/04351609604","Полиамидная труба 4X1,25-PA11/12PHL/PHLY")</f>
        <v>Полиамидная труба 4X1,25-PA11/12PHL/PHLY</v>
      </c>
      <c r="C43" s="5" t="s">
        <v>5</v>
      </c>
      <c r="D43" s="6">
        <v>85.2</v>
      </c>
      <c r="E43" s="6">
        <v>31</v>
      </c>
      <c r="F43" s="9">
        <v>0.64</v>
      </c>
      <c r="H43" s="11"/>
      <c r="I43" s="11"/>
      <c r="J43" s="11"/>
    </row>
    <row r="44" spans="1:10" ht="15.75" x14ac:dyDescent="0.3">
      <c r="A44" s="12" t="str">
        <f>HYPERLINK("https://parts-sales.ru/parts/MAN/04351609704","04.35160-9704")</f>
        <v>04.35160-9704</v>
      </c>
      <c r="B44" s="12" t="str">
        <f>HYPERLINK("https://parts-sales.ru/parts/MAN/04351609704","Полиамидная труба 4X1-PA11/12PHLY")</f>
        <v>Полиамидная труба 4X1-PA11/12PHLY</v>
      </c>
      <c r="C44" s="3" t="s">
        <v>5</v>
      </c>
      <c r="D44" s="4">
        <v>112.8</v>
      </c>
      <c r="E44" s="4">
        <v>64</v>
      </c>
      <c r="F44" s="8">
        <v>0.43</v>
      </c>
      <c r="H44" s="11"/>
      <c r="I44" s="11"/>
      <c r="J44" s="11"/>
    </row>
    <row r="45" spans="1:10" ht="15.75" x14ac:dyDescent="0.3">
      <c r="A45" s="13" t="str">
        <f>HYPERLINK("https://parts-sales.ru/parts/MAN/04351609708","04.35160-9708")</f>
        <v>04.35160-9708</v>
      </c>
      <c r="B45" s="13" t="str">
        <f>HYPERLINK("https://parts-sales.ru/parts/MAN/04351609708","Полиамидная труба 8X1-PA11/12PHLY")</f>
        <v>Полиамидная труба 8X1-PA11/12PHLY</v>
      </c>
      <c r="C45" s="5" t="s">
        <v>5</v>
      </c>
      <c r="D45" s="6">
        <v>668.4</v>
      </c>
      <c r="E45" s="6">
        <v>215</v>
      </c>
      <c r="F45" s="9">
        <v>0.68</v>
      </c>
      <c r="H45" s="11"/>
      <c r="I45" s="11"/>
      <c r="J45" s="11"/>
    </row>
    <row r="46" spans="1:10" ht="15.75" x14ac:dyDescent="0.3">
      <c r="A46" s="12" t="str">
        <f>HYPERLINK("https://parts-sales.ru/parts/MAN/04351609712","04.35160-9712")</f>
        <v>04.35160-9712</v>
      </c>
      <c r="B46" s="12" t="str">
        <f>HYPERLINK("https://parts-sales.ru/parts/MAN/04351609712","Полиамидная труба 12X1,5-PA11/12PHLY")</f>
        <v>Полиамидная труба 12X1,5-PA11/12PHLY</v>
      </c>
      <c r="C46" s="3" t="s">
        <v>5</v>
      </c>
      <c r="D46" s="4">
        <v>1072.8</v>
      </c>
      <c r="E46" s="4">
        <v>384</v>
      </c>
      <c r="F46" s="8">
        <v>0.64</v>
      </c>
      <c r="H46" s="11"/>
      <c r="I46" s="11"/>
      <c r="J46" s="11"/>
    </row>
    <row r="47" spans="1:10" ht="15.75" x14ac:dyDescent="0.3">
      <c r="A47" s="13" t="str">
        <f>HYPERLINK("https://parts-sales.ru/parts/MAN/04351609784","04.35160-9784")</f>
        <v>04.35160-9784</v>
      </c>
      <c r="B47" s="13" t="str">
        <f>HYPERLINK("https://parts-sales.ru/parts/MAN/04351609784","Полиамидная труба 14X2-PA6.12")</f>
        <v>Полиамидная труба 14X2-PA6.12</v>
      </c>
      <c r="C47" s="5" t="s">
        <v>5</v>
      </c>
      <c r="D47" s="6">
        <v>1681.2</v>
      </c>
      <c r="E47" s="6">
        <v>230</v>
      </c>
      <c r="F47" s="9">
        <v>0.86</v>
      </c>
      <c r="H47" s="11"/>
      <c r="I47" s="11"/>
      <c r="J47" s="11"/>
    </row>
    <row r="48" spans="1:10" ht="15.75" x14ac:dyDescent="0.3">
      <c r="A48" s="12" t="str">
        <f>HYPERLINK("https://parts-sales.ru/parts/MAN/04351609786","04.35160-9786")</f>
        <v>04.35160-9786</v>
      </c>
      <c r="B48" s="12" t="str">
        <f>HYPERLINK("https://parts-sales.ru/parts/MAN/04351609786","Полиамидная труба 16X2-PA6.12")</f>
        <v>Полиамидная труба 16X2-PA6.12</v>
      </c>
      <c r="C48" s="3" t="s">
        <v>5</v>
      </c>
      <c r="D48" s="4">
        <v>1398</v>
      </c>
      <c r="E48" s="4">
        <v>223</v>
      </c>
      <c r="F48" s="8">
        <v>0.84</v>
      </c>
      <c r="H48" s="11"/>
      <c r="I48" s="11"/>
      <c r="J48" s="11"/>
    </row>
    <row r="49" spans="1:10" ht="15.75" x14ac:dyDescent="0.3">
      <c r="A49" s="13" t="str">
        <f>HYPERLINK("https://parts-sales.ru/parts/MAN/04351609813","04.35160-9813")</f>
        <v>04.35160-9813</v>
      </c>
      <c r="B49" s="13" t="str">
        <f>HYPERLINK("https://parts-sales.ru/parts/MAN/04351609813","Полиамидная труба 12,5X1,25-PA12-PHLY")</f>
        <v>Полиамидная труба 12,5X1,25-PA12-PHLY</v>
      </c>
      <c r="C49" s="5" t="s">
        <v>5</v>
      </c>
      <c r="D49" s="6">
        <v>903.6</v>
      </c>
      <c r="E49" s="6">
        <v>293</v>
      </c>
      <c r="F49" s="9">
        <v>0.68</v>
      </c>
      <c r="H49" s="11"/>
      <c r="I49" s="11"/>
      <c r="J49" s="11"/>
    </row>
    <row r="50" spans="1:10" ht="15.75" x14ac:dyDescent="0.3">
      <c r="A50" s="12" t="str">
        <f>HYPERLINK("https://parts-sales.ru/parts/MAN/04371359007","04.37135-9007")</f>
        <v>04.37135-9007</v>
      </c>
      <c r="B50" s="12" t="str">
        <f>HYPERLINK("https://parts-sales.ru/parts/MAN/04371359007","Шланг 6X2-PVC-W-TR")</f>
        <v>Шланг 6X2-PVC-W-TR</v>
      </c>
      <c r="C50" s="3" t="s">
        <v>5</v>
      </c>
      <c r="D50" s="4">
        <v>1444.8</v>
      </c>
      <c r="E50" s="4">
        <v>378</v>
      </c>
      <c r="F50" s="8">
        <v>0.74</v>
      </c>
      <c r="H50" s="11"/>
      <c r="I50" s="11"/>
      <c r="J50" s="11"/>
    </row>
    <row r="51" spans="1:10" ht="15.75" x14ac:dyDescent="0.3">
      <c r="A51" s="13" t="str">
        <f>HYPERLINK("https://parts-sales.ru/parts/MAN/04371359017","04.37135-9017")</f>
        <v>04.37135-9017</v>
      </c>
      <c r="B51" s="13" t="str">
        <f>HYPERLINK("https://parts-sales.ru/parts/MAN/04371359017","Шланг 18X3,2X60000-PVC/ST-TR")</f>
        <v>Шланг 18X3,2X60000-PVC/ST-TR</v>
      </c>
      <c r="C51" s="5" t="s">
        <v>5</v>
      </c>
      <c r="D51" s="6">
        <v>1392</v>
      </c>
      <c r="E51" s="6">
        <v>208</v>
      </c>
      <c r="F51" s="9">
        <v>0.85</v>
      </c>
      <c r="H51" s="11"/>
      <c r="I51" s="11"/>
      <c r="J51" s="11"/>
    </row>
    <row r="52" spans="1:10" ht="15.75" x14ac:dyDescent="0.3">
      <c r="A52" s="12" t="str">
        <f>HYPERLINK("https://parts-sales.ru/parts/MAN/04371359814","04.37135-9814")</f>
        <v>04.37135-9814</v>
      </c>
      <c r="B52" s="12" t="str">
        <f>HYPERLINK("https://parts-sales.ru/parts/MAN/04371359814","Шланг 14X2,5X50000-PVC2-80-RAL9011")</f>
        <v>Шланг 14X2,5X50000-PVC2-80-RAL9011</v>
      </c>
      <c r="C52" s="3" t="s">
        <v>5</v>
      </c>
      <c r="D52" s="4">
        <v>1663.2</v>
      </c>
      <c r="E52" s="4">
        <v>124</v>
      </c>
      <c r="F52" s="8">
        <v>0.93</v>
      </c>
      <c r="H52" s="11"/>
      <c r="I52" s="11"/>
      <c r="J52" s="11"/>
    </row>
    <row r="53" spans="1:10" ht="15.75" x14ac:dyDescent="0.3">
      <c r="A53" s="13" t="str">
        <f>HYPERLINK("https://parts-sales.ru/parts/MAN/04371359838","04.37135-9838")</f>
        <v>04.37135-9838</v>
      </c>
      <c r="B53" s="13" t="str">
        <f>HYPERLINK("https://parts-sales.ru/parts/MAN/04371359838","Шланг с бандажом 4,95X0,8-POLYOLEFIN-SW")</f>
        <v>Шланг с бандажом 4,95X0,8-POLYOLEFIN-SW</v>
      </c>
      <c r="C53" s="5" t="s">
        <v>5</v>
      </c>
      <c r="D53" s="6">
        <v>1698</v>
      </c>
      <c r="E53" s="6">
        <v>326</v>
      </c>
      <c r="F53" s="9">
        <v>0.81</v>
      </c>
      <c r="H53" s="11"/>
      <c r="I53" s="11"/>
      <c r="J53" s="11"/>
    </row>
    <row r="54" spans="1:10" ht="15.75" x14ac:dyDescent="0.3">
      <c r="A54" s="12" t="str">
        <f>HYPERLINK("https://parts-sales.ru/parts/MAN/04371359846","04.37135-9846")</f>
        <v>04.37135-9846</v>
      </c>
      <c r="B54" s="12" t="str">
        <f>HYPERLINK("https://parts-sales.ru/parts/MAN/04371359846","Шланг с бандажом 16X0,6-POLYOLEFIN-SW")</f>
        <v>Шланг с бандажом 16X0,6-POLYOLEFIN-SW</v>
      </c>
      <c r="C54" s="3" t="s">
        <v>5</v>
      </c>
      <c r="D54" s="4">
        <v>22796.400000000001</v>
      </c>
      <c r="E54" s="4">
        <v>5280</v>
      </c>
      <c r="F54" s="8">
        <v>0.77</v>
      </c>
      <c r="H54" s="11"/>
      <c r="I54" s="11"/>
      <c r="J54" s="11"/>
    </row>
    <row r="55" spans="1:10" ht="15.75" x14ac:dyDescent="0.3">
      <c r="A55" s="13" t="str">
        <f>HYPERLINK("https://parts-sales.ru/parts/MAN/04371359934","04.37135-9934")</f>
        <v>04.37135-9934</v>
      </c>
      <c r="B55" s="13" t="str">
        <f>HYPERLINK("https://parts-sales.ru/parts/MAN/04371359934","Гофрированная труба 4,5X100000-PA6-SW")</f>
        <v>Гофрированная труба 4,5X100000-PA6-SW</v>
      </c>
      <c r="C55" s="5" t="s">
        <v>5</v>
      </c>
      <c r="D55" s="6">
        <v>1114.8</v>
      </c>
      <c r="E55" s="6">
        <v>409</v>
      </c>
      <c r="F55" s="9">
        <v>0.63</v>
      </c>
      <c r="H55" s="11"/>
      <c r="I55" s="11"/>
      <c r="J55" s="11"/>
    </row>
    <row r="56" spans="1:10" ht="15.75" x14ac:dyDescent="0.3">
      <c r="A56" s="12" t="str">
        <f>HYPERLINK("https://parts-sales.ru/parts/MAN/04371359936","04.37135-9936")</f>
        <v>04.37135-9936</v>
      </c>
      <c r="B56" s="12" t="str">
        <f>HYPERLINK("https://parts-sales.ru/parts/MAN/04371359936","Гофрированная труба 14X50000-PA6-SW")</f>
        <v>Гофрированная труба 14X50000-PA6-SW</v>
      </c>
      <c r="C56" s="3" t="s">
        <v>5</v>
      </c>
      <c r="D56" s="4">
        <v>1008</v>
      </c>
      <c r="E56" s="4">
        <v>132</v>
      </c>
      <c r="F56" s="8">
        <v>0.87</v>
      </c>
      <c r="H56" s="11"/>
      <c r="I56" s="11"/>
      <c r="J56" s="11"/>
    </row>
    <row r="57" spans="1:10" ht="15.75" x14ac:dyDescent="0.3">
      <c r="A57" s="13" t="str">
        <f>HYPERLINK("https://parts-sales.ru/parts/MAN/04371359938","04.37135-9938")</f>
        <v>04.37135-9938</v>
      </c>
      <c r="B57" s="13" t="str">
        <f>HYPERLINK("https://parts-sales.ru/parts/MAN/04371359938","Гофрированная труба 8,5X50000-PA6-SW")</f>
        <v>Гофрированная труба 8,5X50000-PA6-SW</v>
      </c>
      <c r="C57" s="5" t="s">
        <v>5</v>
      </c>
      <c r="D57" s="6">
        <v>641.04999999999995</v>
      </c>
      <c r="E57" s="6">
        <v>146</v>
      </c>
      <c r="F57" s="9">
        <v>0.77</v>
      </c>
      <c r="H57" s="11"/>
      <c r="I57" s="11"/>
      <c r="J57" s="11"/>
    </row>
    <row r="58" spans="1:10" ht="15.75" x14ac:dyDescent="0.3">
      <c r="A58" s="12" t="str">
        <f>HYPERLINK("https://parts-sales.ru/parts/MAN/04371359942","04.37135-9942")</f>
        <v>04.37135-9942</v>
      </c>
      <c r="B58" s="12" t="str">
        <f>HYPERLINK("https://parts-sales.ru/parts/MAN/04371359942","Гофрированная труба 22X50000-PA6-SW")</f>
        <v>Гофрированная труба 22X50000-PA6-SW</v>
      </c>
      <c r="C58" s="3" t="s">
        <v>5</v>
      </c>
      <c r="D58" s="4">
        <v>976.8</v>
      </c>
      <c r="E58" s="4">
        <v>103</v>
      </c>
      <c r="F58" s="8">
        <v>0.89</v>
      </c>
      <c r="H58" s="11"/>
      <c r="I58" s="11"/>
      <c r="J58" s="11"/>
    </row>
    <row r="59" spans="1:10" ht="15.75" x14ac:dyDescent="0.3">
      <c r="A59" s="13" t="str">
        <f>HYPERLINK("https://parts-sales.ru/parts/MAN/04371359946","04.37135-9946")</f>
        <v>04.37135-9946</v>
      </c>
      <c r="B59" s="13" t="str">
        <f>HYPERLINK("https://parts-sales.ru/parts/MAN/04371359946","Гофрированная труба 26X25000-PA6-SW")</f>
        <v>Гофрированная труба 26X25000-PA6-SW</v>
      </c>
      <c r="C59" s="5" t="s">
        <v>5</v>
      </c>
      <c r="D59" s="6">
        <v>3646.8</v>
      </c>
      <c r="E59" s="6">
        <v>652</v>
      </c>
      <c r="F59" s="9">
        <v>0.82</v>
      </c>
      <c r="H59" s="11"/>
      <c r="I59" s="11"/>
      <c r="J59" s="11"/>
    </row>
    <row r="60" spans="1:10" ht="15.75" x14ac:dyDescent="0.3">
      <c r="A60" s="12" t="str">
        <f>HYPERLINK("https://parts-sales.ru/parts/MAN/04371359947","04.37135-9947")</f>
        <v>04.37135-9947</v>
      </c>
      <c r="B60" s="12" t="str">
        <f>HYPERLINK("https://parts-sales.ru/parts/MAN/04371359947","Гофрированная труба 17X50000-PA6-SW")</f>
        <v>Гофрированная труба 17X50000-PA6-SW</v>
      </c>
      <c r="C60" s="3" t="s">
        <v>5</v>
      </c>
      <c r="D60" s="4">
        <v>2594.4</v>
      </c>
      <c r="E60" s="4">
        <v>593</v>
      </c>
      <c r="F60" s="8">
        <v>0.77</v>
      </c>
      <c r="H60" s="11"/>
      <c r="I60" s="11"/>
      <c r="J60" s="11"/>
    </row>
    <row r="61" spans="1:10" ht="15.75" x14ac:dyDescent="0.3">
      <c r="A61" s="13" t="str">
        <f>HYPERLINK("https://parts-sales.ru/parts/MAN/04371359949","04.37135-9949")</f>
        <v>04.37135-9949</v>
      </c>
      <c r="B61" s="13" t="str">
        <f>HYPERLINK("https://parts-sales.ru/parts/MAN/04371359949","Гофрированная труба 29X25000-PA6-SW")</f>
        <v>Гофрированная труба 29X25000-PA6-SW</v>
      </c>
      <c r="C61" s="5" t="s">
        <v>5</v>
      </c>
      <c r="D61" s="6">
        <v>2714.4</v>
      </c>
      <c r="E61" s="6">
        <v>512</v>
      </c>
      <c r="F61" s="9">
        <v>0.81</v>
      </c>
      <c r="H61" s="11"/>
      <c r="I61" s="11"/>
      <c r="J61" s="11"/>
    </row>
    <row r="62" spans="1:10" ht="15.75" x14ac:dyDescent="0.3">
      <c r="A62" s="12" t="str">
        <f>HYPERLINK("https://parts-sales.ru/parts/MAN/04374350004","04.37435-0004")</f>
        <v>04.37435-0004</v>
      </c>
      <c r="B62" s="12" t="str">
        <f>HYPERLINK("https://parts-sales.ru/parts/MAN/04374350004","Изолирующий шланг B4X0,5-SW")</f>
        <v>Изолирующий шланг B4X0,5-SW</v>
      </c>
      <c r="C62" s="3" t="s">
        <v>5</v>
      </c>
      <c r="D62" s="4">
        <v>312</v>
      </c>
      <c r="E62" s="4">
        <v>65</v>
      </c>
      <c r="F62" s="8">
        <v>0.79</v>
      </c>
      <c r="H62" s="11"/>
      <c r="I62" s="11"/>
      <c r="J62" s="11"/>
    </row>
    <row r="63" spans="1:10" ht="15.75" x14ac:dyDescent="0.3">
      <c r="A63" s="13" t="str">
        <f>HYPERLINK("https://parts-sales.ru/parts/MAN/04374350006","04.37435-0006")</f>
        <v>04.37435-0006</v>
      </c>
      <c r="B63" s="13" t="str">
        <f>HYPERLINK("https://parts-sales.ru/parts/MAN/04374350006","Изолирующий шланг B6X0,6-SW")</f>
        <v>Изолирующий шланг B6X0,6-SW</v>
      </c>
      <c r="C63" s="5" t="s">
        <v>5</v>
      </c>
      <c r="D63" s="6">
        <v>629.20000000000005</v>
      </c>
      <c r="E63" s="6">
        <v>263</v>
      </c>
      <c r="F63" s="9">
        <v>0.57999999999999996</v>
      </c>
      <c r="H63" s="11"/>
      <c r="I63" s="11"/>
      <c r="J63" s="11"/>
    </row>
    <row r="64" spans="1:10" ht="15.75" x14ac:dyDescent="0.3">
      <c r="A64" s="12" t="str">
        <f>HYPERLINK("https://parts-sales.ru/parts/MAN/04384609061","04.38460-9061")</f>
        <v>04.38460-9061</v>
      </c>
      <c r="B64" s="12" t="str">
        <f>HYPERLINK("https://parts-sales.ru/parts/MAN/04384609061","Лента крепления кнопки D4I-25X46000-DGR")</f>
        <v>Лента крепления кнопки D4I-25X46000-DGR</v>
      </c>
      <c r="C64" s="3" t="s">
        <v>5</v>
      </c>
      <c r="D64" s="4">
        <v>6192</v>
      </c>
      <c r="E64" s="4">
        <v>1075</v>
      </c>
      <c r="F64" s="8">
        <v>0.83</v>
      </c>
      <c r="H64" s="11"/>
      <c r="I64" s="11"/>
      <c r="J64" s="11"/>
    </row>
    <row r="65" spans="1:10" ht="15.75" x14ac:dyDescent="0.3">
      <c r="A65" s="13" t="str">
        <f>HYPERLINK("https://parts-sales.ru/parts/MAN/04395009814","04.39500-9814")</f>
        <v>04.39500-9814</v>
      </c>
      <c r="B65" s="13" t="str">
        <f>HYPERLINK("https://parts-sales.ru/parts/MAN/04395009814","Профиль 3500-PVC-SW")</f>
        <v>Профиль 3500-PVC-SW</v>
      </c>
      <c r="C65" s="5" t="s">
        <v>5</v>
      </c>
      <c r="D65" s="6">
        <v>6745.2</v>
      </c>
      <c r="E65" s="6">
        <v>1016</v>
      </c>
      <c r="F65" s="9">
        <v>0.85</v>
      </c>
      <c r="H65" s="11"/>
      <c r="I65" s="11"/>
      <c r="J65" s="11"/>
    </row>
    <row r="66" spans="1:10" ht="15.75" x14ac:dyDescent="0.3">
      <c r="A66" s="12" t="str">
        <f>HYPERLINK("https://parts-sales.ru/parts/MAN/04395009831","04.39500-9831")</f>
        <v>04.39500-9831</v>
      </c>
      <c r="B66" s="12" t="str">
        <f>HYPERLINK("https://parts-sales.ru/parts/MAN/04395009831","Профиль 3000-GR")</f>
        <v>Профиль 3000-GR</v>
      </c>
      <c r="C66" s="3" t="s">
        <v>5</v>
      </c>
      <c r="D66" s="4">
        <v>1122.4100000000001</v>
      </c>
      <c r="E66" s="4">
        <v>523</v>
      </c>
      <c r="F66" s="8">
        <v>0.53</v>
      </c>
      <c r="H66" s="11"/>
      <c r="I66" s="11"/>
      <c r="J66" s="11"/>
    </row>
    <row r="67" spans="1:10" ht="15.75" x14ac:dyDescent="0.3">
      <c r="A67" s="13" t="str">
        <f>HYPERLINK("https://parts-sales.ru/parts/MAN/04395009844","04.39500-9844")</f>
        <v>04.39500-9844</v>
      </c>
      <c r="B67" s="13" t="str">
        <f>HYPERLINK("https://parts-sales.ru/parts/MAN/04395009844","Проступная планка 29,5X40X3000-MAN301-77")</f>
        <v>Проступная планка 29,5X40X3000-MAN301-77</v>
      </c>
      <c r="C67" s="5" t="s">
        <v>5</v>
      </c>
      <c r="D67" s="6">
        <v>2434.8000000000002</v>
      </c>
      <c r="E67" s="6">
        <v>414</v>
      </c>
      <c r="F67" s="9">
        <v>0.83</v>
      </c>
      <c r="H67" s="11"/>
      <c r="I67" s="11"/>
      <c r="J67" s="11"/>
    </row>
    <row r="68" spans="1:10" ht="15.75" x14ac:dyDescent="0.3">
      <c r="A68" s="12" t="str">
        <f>HYPERLINK("https://parts-sales.ru/parts/MAN/04395349045","04.39534-9045")</f>
        <v>04.39534-9045</v>
      </c>
      <c r="B68" s="12" t="str">
        <f>HYPERLINK("https://parts-sales.ru/parts/MAN/04395349045","Проступная планка 35X48X5000-RAL1023")</f>
        <v>Проступная планка 35X48X5000-RAL1023</v>
      </c>
      <c r="C68" s="3" t="s">
        <v>5</v>
      </c>
      <c r="D68" s="4">
        <v>5755.2</v>
      </c>
      <c r="E68" s="4">
        <v>1100</v>
      </c>
      <c r="F68" s="8">
        <v>0.81</v>
      </c>
      <c r="H68" s="11"/>
      <c r="I68" s="11"/>
      <c r="J68" s="11"/>
    </row>
    <row r="69" spans="1:10" ht="15.75" x14ac:dyDescent="0.3">
      <c r="A69" s="13" t="str">
        <f>HYPERLINK("https://parts-sales.ru/parts/MAN/04395349355","04.39534-9355")</f>
        <v>04.39534-9355</v>
      </c>
      <c r="B69" s="13" t="str">
        <f>HYPERLINK("https://parts-sales.ru/parts/MAN/04395349355","Профильная планка")</f>
        <v>Профильная планка</v>
      </c>
      <c r="C69" s="5" t="s">
        <v>5</v>
      </c>
      <c r="D69" s="6">
        <v>3825.6</v>
      </c>
      <c r="E69" s="6">
        <v>1209</v>
      </c>
      <c r="F69" s="9">
        <v>0.68</v>
      </c>
      <c r="H69" s="11"/>
      <c r="I69" s="11"/>
      <c r="J69" s="11"/>
    </row>
    <row r="70" spans="1:10" ht="15.75" x14ac:dyDescent="0.3">
      <c r="A70" s="12" t="str">
        <f>HYPERLINK("https://parts-sales.ru/parts/MAN/04395349357","04.39534-9357")</f>
        <v>04.39534-9357</v>
      </c>
      <c r="B70" s="12" t="str">
        <f>HYPERLINK("https://parts-sales.ru/parts/MAN/04395349357","Нащельник")</f>
        <v>Нащельник</v>
      </c>
      <c r="C70" s="3" t="s">
        <v>5</v>
      </c>
      <c r="D70" s="4">
        <v>1095.5999999999999</v>
      </c>
      <c r="E70" s="4">
        <v>322</v>
      </c>
      <c r="F70" s="8">
        <v>0.71</v>
      </c>
      <c r="H70" s="11"/>
      <c r="I70" s="11"/>
      <c r="J70" s="11"/>
    </row>
    <row r="71" spans="1:10" ht="15.75" x14ac:dyDescent="0.3">
      <c r="A71" s="13" t="str">
        <f>HYPERLINK("https://parts-sales.ru/parts/MAN/04395349367","04.39534-9367")</f>
        <v>04.39534-9367</v>
      </c>
      <c r="B71" s="13" t="str">
        <f>HYPERLINK("https://parts-sales.ru/parts/MAN/04395349367","Проступная планка 15X30X5000-RAL9005")</f>
        <v>Проступная планка 15X30X5000-RAL9005</v>
      </c>
      <c r="C71" s="5" t="s">
        <v>5</v>
      </c>
      <c r="D71" s="6">
        <v>3055.2</v>
      </c>
      <c r="E71" s="6">
        <v>535</v>
      </c>
      <c r="F71" s="9">
        <v>0.82</v>
      </c>
      <c r="H71" s="11"/>
      <c r="I71" s="11"/>
      <c r="J71" s="11"/>
    </row>
    <row r="72" spans="1:10" ht="15.75" x14ac:dyDescent="0.3">
      <c r="A72" s="12" t="str">
        <f>HYPERLINK("https://parts-sales.ru/parts/MAN/04395349376","04.39534-9376")</f>
        <v>04.39534-9376</v>
      </c>
      <c r="B72" s="12" t="str">
        <f>HYPERLINK("https://parts-sales.ru/parts/MAN/04395349376","Проступная планка 24X52X3350-70+5SHORE-R")</f>
        <v>Проступная планка 24X52X3350-70+5SHORE-R</v>
      </c>
      <c r="C72" s="3" t="s">
        <v>5</v>
      </c>
      <c r="D72" s="4">
        <v>2646</v>
      </c>
      <c r="E72" s="4">
        <v>729</v>
      </c>
      <c r="F72" s="8">
        <v>0.72</v>
      </c>
      <c r="H72" s="11"/>
      <c r="I72" s="11"/>
      <c r="J72" s="11"/>
    </row>
    <row r="73" spans="1:10" ht="15.75" x14ac:dyDescent="0.3">
      <c r="A73" s="13" t="str">
        <f>HYPERLINK("https://parts-sales.ru/parts/MAN/04395349392","04.39534-9392")</f>
        <v>04.39534-9392</v>
      </c>
      <c r="B73" s="13" t="str">
        <f>HYPERLINK("https://parts-sales.ru/parts/MAN/04395349392","Облицовочный профиль 46X13X20000-PVC-2-8")</f>
        <v>Облицовочный профиль 46X13X20000-PVC-2-8</v>
      </c>
      <c r="C73" s="5" t="s">
        <v>5</v>
      </c>
      <c r="D73" s="6">
        <v>1796.4</v>
      </c>
      <c r="E73" s="6">
        <v>405</v>
      </c>
      <c r="F73" s="9">
        <v>0.77</v>
      </c>
      <c r="H73" s="11"/>
      <c r="I73" s="11"/>
      <c r="J73" s="11"/>
    </row>
    <row r="74" spans="1:10" ht="15.75" x14ac:dyDescent="0.3">
      <c r="A74" s="12" t="str">
        <f>HYPERLINK("https://parts-sales.ru/parts/MAN/04395359012","04.39535-9012")</f>
        <v>04.39535-9012</v>
      </c>
      <c r="B74" s="12" t="str">
        <f>HYPERLINK("https://parts-sales.ru/parts/MAN/04395359012","Защита кромок 1-2/6,5X9,5-ST/PVC-SW")</f>
        <v>Защита кромок 1-2/6,5X9,5-ST/PVC-SW</v>
      </c>
      <c r="C74" s="3" t="s">
        <v>5</v>
      </c>
      <c r="D74" s="4">
        <v>2596.8000000000002</v>
      </c>
      <c r="E74" s="4">
        <v>459</v>
      </c>
      <c r="F74" s="8">
        <v>0.82</v>
      </c>
      <c r="H74" s="11"/>
      <c r="I74" s="11"/>
      <c r="J74" s="11"/>
    </row>
    <row r="75" spans="1:10" ht="15.75" x14ac:dyDescent="0.3">
      <c r="A75" s="13" t="str">
        <f>HYPERLINK("https://parts-sales.ru/parts/MAN/04395359090","04.39535-9090")</f>
        <v>04.39535-9090</v>
      </c>
      <c r="B75" s="13" t="str">
        <f>HYPERLINK("https://parts-sales.ru/parts/MAN/04395359090","Защита кромок 1-4/10X14-ST/PVC-SW-KLEBST")</f>
        <v>Защита кромок 1-4/10X14-ST/PVC-SW-KLEBST</v>
      </c>
      <c r="C75" s="5" t="s">
        <v>5</v>
      </c>
      <c r="D75" s="6">
        <v>1359.47</v>
      </c>
      <c r="E75" s="6">
        <v>206</v>
      </c>
      <c r="F75" s="9">
        <v>0.85</v>
      </c>
      <c r="H75" s="11"/>
      <c r="I75" s="11"/>
      <c r="J75" s="11"/>
    </row>
    <row r="76" spans="1:10" ht="15.75" x14ac:dyDescent="0.3">
      <c r="A76" s="12" t="str">
        <f>HYPERLINK("https://parts-sales.ru/parts/MAN/04571919010","04.57191-9010")</f>
        <v>04.57191-9010</v>
      </c>
      <c r="B76" s="12" t="str">
        <f>HYPERLINK("https://parts-sales.ru/parts/MAN/04571919010","Шланг 10X3X50000-PVC/POLYESTER-TR")</f>
        <v>Шланг 10X3X50000-PVC/POLYESTER-TR</v>
      </c>
      <c r="C76" s="3" t="s">
        <v>5</v>
      </c>
      <c r="D76" s="4">
        <v>1369.2</v>
      </c>
      <c r="E76" s="4">
        <v>144</v>
      </c>
      <c r="F76" s="8">
        <v>0.89</v>
      </c>
      <c r="H76" s="11"/>
      <c r="I76" s="11"/>
      <c r="J76" s="11"/>
    </row>
    <row r="77" spans="1:10" ht="15.75" x14ac:dyDescent="0.3">
      <c r="A77" s="13" t="str">
        <f>HYPERLINK("https://parts-sales.ru/parts/MAN/04833259350","04.83325-9350")</f>
        <v>04.83325-9350</v>
      </c>
      <c r="B77" s="13" t="str">
        <f>HYPERLINK("https://parts-sales.ru/parts/MAN/04833259350","Материал Nadelvlies E1-1000X1400-X2A252-")</f>
        <v>Материал Nadelvlies E1-1000X1400-X2A252-</v>
      </c>
      <c r="C77" s="5" t="s">
        <v>5</v>
      </c>
      <c r="D77" s="6">
        <v>26642.400000000001</v>
      </c>
      <c r="E77" s="6">
        <v>5813</v>
      </c>
      <c r="F77" s="9">
        <v>0.78</v>
      </c>
      <c r="H77" s="11"/>
      <c r="I77" s="11"/>
      <c r="J77" s="11"/>
    </row>
    <row r="78" spans="1:10" ht="15.75" x14ac:dyDescent="0.3">
      <c r="A78" s="12" t="str">
        <f>HYPERLINK("https://parts-sales.ru/parts/MAN/04842259000","04.84225-9000")</f>
        <v>04.84225-9000</v>
      </c>
      <c r="B78" s="12" t="str">
        <f>HYPERLINK("https://parts-sales.ru/parts/MAN/04842259000","Ленты PLASTOFELT 10X2 RO20M")</f>
        <v>Ленты PLASTOFELT 10X2 RO20M</v>
      </c>
      <c r="C78" s="3" t="s">
        <v>5</v>
      </c>
      <c r="D78" s="4">
        <v>333.6</v>
      </c>
      <c r="E78" s="4">
        <v>71</v>
      </c>
      <c r="F78" s="8">
        <v>0.79</v>
      </c>
      <c r="H78" s="11"/>
      <c r="I78" s="11"/>
      <c r="J78" s="11"/>
    </row>
    <row r="79" spans="1:10" ht="15.75" x14ac:dyDescent="0.3">
      <c r="A79" s="13" t="str">
        <f>HYPERLINK("https://parts-sales.ru/parts/MAN/04871509550","04.87150-9550")</f>
        <v>04.87150-9550</v>
      </c>
      <c r="B79" s="13" t="str">
        <f>HYPERLINK("https://parts-sales.ru/parts/MAN/04871509550","Шланг для теплого воздуха 50X2,5-A-P-K-S")</f>
        <v>Шланг для теплого воздуха 50X2,5-A-P-K-S</v>
      </c>
      <c r="C79" s="5" t="s">
        <v>5</v>
      </c>
      <c r="D79" s="6">
        <v>3237.6</v>
      </c>
      <c r="E79" s="6">
        <v>768</v>
      </c>
      <c r="F79" s="9">
        <v>0.76</v>
      </c>
      <c r="H79" s="11"/>
      <c r="I79" s="11"/>
      <c r="J79" s="11"/>
    </row>
    <row r="80" spans="1:10" ht="15.75" x14ac:dyDescent="0.3">
      <c r="A80" s="12" t="str">
        <f>HYPERLINK("https://parts-sales.ru/parts/MAN/04871509576","04.87150-9576")</f>
        <v>04.87150-9576</v>
      </c>
      <c r="B80" s="12" t="str">
        <f>HYPERLINK("https://parts-sales.ru/parts/MAN/04871509576","Шланг для теплого воздуха 75X2,1X60000-A")</f>
        <v>Шланг для теплого воздуха 75X2,1X60000-A</v>
      </c>
      <c r="C80" s="3" t="s">
        <v>5</v>
      </c>
      <c r="D80" s="4">
        <v>822</v>
      </c>
      <c r="E80" s="4">
        <v>499</v>
      </c>
      <c r="F80" s="8">
        <v>0.39</v>
      </c>
      <c r="H80" s="11"/>
      <c r="I80" s="11"/>
      <c r="J80" s="11"/>
    </row>
    <row r="81" spans="1:10" ht="15.75" x14ac:dyDescent="0.3">
      <c r="A81" s="13" t="str">
        <f>HYPERLINK("https://parts-sales.ru/parts/MAN/04871509602","04.87150-9602")</f>
        <v>04.87150-9602</v>
      </c>
      <c r="B81" s="13" t="str">
        <f>HYPERLINK("https://parts-sales.ru/parts/MAN/04871509602","Гофрированный шланг 102X2,0X10000-ST/PP-")</f>
        <v>Гофрированный шланг 102X2,0X10000-ST/PP-</v>
      </c>
      <c r="C81" s="5" t="s">
        <v>5</v>
      </c>
      <c r="D81" s="6">
        <v>14389.2</v>
      </c>
      <c r="E81" s="6">
        <v>2697</v>
      </c>
      <c r="F81" s="9">
        <v>0.81</v>
      </c>
      <c r="H81" s="11"/>
      <c r="I81" s="11"/>
      <c r="J81" s="11"/>
    </row>
    <row r="82" spans="1:10" ht="15.75" x14ac:dyDescent="0.3">
      <c r="A82" s="12" t="str">
        <f>HYPERLINK("https://parts-sales.ru/parts/MAN/04871509610","04.87150-9610")</f>
        <v>04.87150-9610</v>
      </c>
      <c r="B82" s="12" t="str">
        <f>HYPERLINK("https://parts-sales.ru/parts/MAN/04871509610","Гофрированный шланг 100X2,7X10000-ST/PVC")</f>
        <v>Гофрированный шланг 100X2,7X10000-ST/PVC</v>
      </c>
      <c r="C82" s="3" t="s">
        <v>5</v>
      </c>
      <c r="D82" s="4">
        <v>9940.7999999999993</v>
      </c>
      <c r="E82" s="4">
        <v>1649</v>
      </c>
      <c r="F82" s="8">
        <v>0.83</v>
      </c>
      <c r="H82" s="11"/>
      <c r="I82" s="11"/>
      <c r="J82" s="11"/>
    </row>
    <row r="83" spans="1:10" ht="15.75" x14ac:dyDescent="0.3">
      <c r="A83" s="13" t="str">
        <f>HYPERLINK("https://parts-sales.ru/parts/MAN/04871509890","04.87150-9890")</f>
        <v>04.87150-9890</v>
      </c>
      <c r="B83" s="13" t="str">
        <f>HYPERLINK("https://parts-sales.ru/parts/MAN/04871509890","Шланг для теплого воздуха 90X2,2-A-P-K")</f>
        <v>Шланг для теплого воздуха 90X2,2-A-P-K</v>
      </c>
      <c r="C83" s="5" t="s">
        <v>5</v>
      </c>
      <c r="D83" s="6">
        <v>9298.7999999999993</v>
      </c>
      <c r="E83" s="6">
        <v>2502</v>
      </c>
      <c r="F83" s="9">
        <v>0.73</v>
      </c>
      <c r="H83" s="11"/>
      <c r="I83" s="11"/>
      <c r="J83" s="11"/>
    </row>
    <row r="84" spans="1:10" ht="15.75" x14ac:dyDescent="0.3">
      <c r="A84" s="12" t="str">
        <f>HYPERLINK("https://parts-sales.ru/parts/MAN/04882419103","04.88241-9103")</f>
        <v>04.88241-9103</v>
      </c>
      <c r="B84" s="12" t="str">
        <f>HYPERLINK("https://parts-sales.ru/parts/MAN/04882419103","Трос 3X500000-PA-WS")</f>
        <v>Трос 3X500000-PA-WS</v>
      </c>
      <c r="C84" s="3" t="s">
        <v>5</v>
      </c>
      <c r="D84" s="4">
        <v>1294.8</v>
      </c>
      <c r="E84" s="4">
        <v>279</v>
      </c>
      <c r="F84" s="8">
        <v>0.78</v>
      </c>
      <c r="H84" s="11"/>
      <c r="I84" s="11"/>
      <c r="J84" s="11"/>
    </row>
    <row r="85" spans="1:10" ht="15.75" x14ac:dyDescent="0.3">
      <c r="A85" s="13" t="str">
        <f>HYPERLINK("https://parts-sales.ru/parts/MAN/04884009869","04.88400-9869")</f>
        <v>04.88400-9869</v>
      </c>
      <c r="B85" s="13" t="str">
        <f>HYPERLINK("https://parts-sales.ru/parts/MAN/04884009869","Настил пола 3,5X2000-ROLLE-GRAU")</f>
        <v>Настил пола 3,5X2000-ROLLE-GRAU</v>
      </c>
      <c r="C85" s="5" t="s">
        <v>5</v>
      </c>
      <c r="D85" s="6">
        <v>10839.6</v>
      </c>
      <c r="E85" s="6">
        <v>1865</v>
      </c>
      <c r="F85" s="9">
        <v>0.83</v>
      </c>
      <c r="H85" s="11"/>
      <c r="I85" s="11"/>
      <c r="J85" s="11"/>
    </row>
    <row r="86" spans="1:10" ht="15.75" x14ac:dyDescent="0.3">
      <c r="A86" s="12" t="str">
        <f>HYPERLINK("https://parts-sales.ru/parts/MAN/04933008010","04.93300-8010")</f>
        <v>04.93300-8010</v>
      </c>
      <c r="B86" s="12" t="str">
        <f>HYPERLINK("https://parts-sales.ru/parts/MAN/04933008010","Лента для обмотки 0,35X19-RO15M-SW")</f>
        <v>Лента для обмотки 0,35X19-RO15M-SW</v>
      </c>
      <c r="C86" s="3" t="s">
        <v>5</v>
      </c>
      <c r="D86" s="4">
        <v>2208</v>
      </c>
      <c r="E86" s="4">
        <v>497</v>
      </c>
      <c r="F86" s="8">
        <v>0.77</v>
      </c>
      <c r="H86" s="11"/>
      <c r="I86" s="11"/>
      <c r="J86" s="11"/>
    </row>
    <row r="87" spans="1:10" ht="15.75" x14ac:dyDescent="0.3">
      <c r="A87" s="13" t="str">
        <f>HYPERLINK("https://parts-sales.ru/parts/MAN/04933008014","04.93300-8014")</f>
        <v>04.93300-8014</v>
      </c>
      <c r="B87" s="13" t="str">
        <f>HYPERLINK("https://parts-sales.ru/parts/MAN/04933008014","Лента для обмотки 0,2X19-RO25M-SW")</f>
        <v>Лента для обмотки 0,2X19-RO25M-SW</v>
      </c>
      <c r="C87" s="5" t="s">
        <v>5</v>
      </c>
      <c r="D87" s="6">
        <v>1144.74</v>
      </c>
      <c r="E87" s="6">
        <v>409</v>
      </c>
      <c r="F87" s="9">
        <v>0.64</v>
      </c>
      <c r="H87" s="11"/>
      <c r="I87" s="11"/>
      <c r="J87" s="11"/>
    </row>
    <row r="88" spans="1:10" ht="15.75" x14ac:dyDescent="0.3">
      <c r="A88" s="12" t="str">
        <f>HYPERLINK("https://parts-sales.ru/parts/MAN/04942159221","04.94215-9221")</f>
        <v>04.94215-9221</v>
      </c>
      <c r="B88" s="12" t="str">
        <f>HYPERLINK("https://parts-sales.ru/parts/MAN/04942159221","Изоляционный коврик 40X2500X1250")</f>
        <v>Изоляционный коврик 40X2500X1250</v>
      </c>
      <c r="C88" s="3" t="s">
        <v>5</v>
      </c>
      <c r="D88" s="4">
        <v>54224.4</v>
      </c>
      <c r="E88" s="4">
        <v>14174</v>
      </c>
      <c r="F88" s="8">
        <v>0.74</v>
      </c>
      <c r="H88" s="11"/>
      <c r="I88" s="11"/>
      <c r="J88" s="11"/>
    </row>
    <row r="89" spans="1:10" ht="15.75" x14ac:dyDescent="0.3">
      <c r="A89" s="13" t="str">
        <f>HYPERLINK("https://parts-sales.ru/parts/MAN/04942159270","04.94215-9270")</f>
        <v>04.94215-9270</v>
      </c>
      <c r="B89" s="13" t="str">
        <f>HYPERLINK("https://parts-sales.ru/parts/MAN/04942159270","Изоляционный коврик 7X1250X2100-SCHAUMST")</f>
        <v>Изоляционный коврик 7X1250X2100-SCHAUMST</v>
      </c>
      <c r="C89" s="5" t="s">
        <v>5</v>
      </c>
      <c r="D89" s="6">
        <v>16375.2</v>
      </c>
      <c r="E89" s="6">
        <v>4989</v>
      </c>
      <c r="F89" s="9">
        <v>0.7</v>
      </c>
      <c r="H89" s="11"/>
      <c r="I89" s="11"/>
      <c r="J89" s="11"/>
    </row>
    <row r="90" spans="1:10" ht="15.75" x14ac:dyDescent="0.3">
      <c r="A90" s="12" t="str">
        <f>HYPERLINK("https://parts-sales.ru/parts/MAN/04971169015","04.97116-9015")</f>
        <v>04.97116-9015</v>
      </c>
      <c r="B90" s="12" t="str">
        <f>HYPERLINK("https://parts-sales.ru/parts/MAN/04971169015","Изолирующий шланг 16X9X2000-MOOSGUMMI-M3")</f>
        <v>Изолирующий шланг 16X9X2000-MOOSGUMMI-M3</v>
      </c>
      <c r="C90" s="3" t="s">
        <v>5</v>
      </c>
      <c r="D90" s="4">
        <v>1123.25</v>
      </c>
      <c r="E90" s="4">
        <v>470</v>
      </c>
      <c r="F90" s="8">
        <v>0.57999999999999996</v>
      </c>
      <c r="H90" s="11"/>
      <c r="I90" s="11"/>
      <c r="J90" s="11"/>
    </row>
    <row r="91" spans="1:10" ht="15.75" x14ac:dyDescent="0.3">
      <c r="A91" s="13" t="str">
        <f>HYPERLINK("https://parts-sales.ru/parts/MAN/04971169022","04.97116-9022")</f>
        <v>04.97116-9022</v>
      </c>
      <c r="B91" s="13" t="str">
        <f>HYPERLINK("https://parts-sales.ru/parts/MAN/04971169022","Изолирующий шланг 23X9X2000-MOOSGUMMI-M3")</f>
        <v>Изолирующий шланг 23X9X2000-MOOSGUMMI-M3</v>
      </c>
      <c r="C91" s="5" t="s">
        <v>5</v>
      </c>
      <c r="D91" s="6">
        <v>3728.4</v>
      </c>
      <c r="E91" s="6">
        <v>1169</v>
      </c>
      <c r="F91" s="9">
        <v>0.69</v>
      </c>
      <c r="H91" s="11"/>
      <c r="I91" s="11"/>
      <c r="J91" s="11"/>
    </row>
    <row r="92" spans="1:10" ht="15.75" x14ac:dyDescent="0.3">
      <c r="A92" s="12" t="str">
        <f>HYPERLINK("https://parts-sales.ru/parts/MAN/04971169129","04.97116-9129")</f>
        <v>04.97116-9129</v>
      </c>
      <c r="B92" s="12" t="str">
        <f>HYPERLINK("https://parts-sales.ru/parts/MAN/04971169129","Изолирующий шланг 16X13X1000-MOOSGUMMI-S")</f>
        <v>Изолирующий шланг 16X13X1000-MOOSGUMMI-S</v>
      </c>
      <c r="C92" s="3" t="s">
        <v>5</v>
      </c>
      <c r="D92" s="4">
        <v>2549.84</v>
      </c>
      <c r="E92" s="4">
        <v>1524</v>
      </c>
      <c r="F92" s="8">
        <v>0.4</v>
      </c>
      <c r="H92" s="11"/>
      <c r="I92" s="11"/>
      <c r="J92" s="11"/>
    </row>
    <row r="93" spans="1:10" ht="15.75" x14ac:dyDescent="0.3">
      <c r="A93" s="13" t="str">
        <f>HYPERLINK("https://parts-sales.ru/parts/MAN/04997009804","04.99700-9804")</f>
        <v>04.99700-9804</v>
      </c>
      <c r="B93" s="13" t="str">
        <f>HYPERLINK("https://parts-sales.ru/parts/MAN/04997009804","Уплотнительный профиль двери")</f>
        <v>Уплотнительный профиль двери</v>
      </c>
      <c r="C93" s="5" t="s">
        <v>5</v>
      </c>
      <c r="D93" s="6">
        <v>8515.2000000000007</v>
      </c>
      <c r="E93" s="6">
        <v>2061</v>
      </c>
      <c r="F93" s="9">
        <v>0.76</v>
      </c>
      <c r="H93" s="11"/>
      <c r="I93" s="11"/>
      <c r="J93" s="11"/>
    </row>
    <row r="94" spans="1:10" ht="15.75" x14ac:dyDescent="0.3">
      <c r="A94" s="12" t="str">
        <f>HYPERLINK("https://parts-sales.ru/parts/MAN/06010136813","06.01013-6813")</f>
        <v>06.01013-6813</v>
      </c>
      <c r="B94" s="12" t="str">
        <f>HYPERLINK("https://parts-sales.ru/parts/MAN/06010136813","6-гранный установочный винт M5X40-8.8-MA")</f>
        <v>6-гранный установочный винт M5X40-8.8-MA</v>
      </c>
      <c r="C94" s="3" t="s">
        <v>6</v>
      </c>
      <c r="D94" s="4">
        <v>142.80000000000001</v>
      </c>
      <c r="E94" s="4">
        <v>33</v>
      </c>
      <c r="F94" s="8">
        <v>0.77</v>
      </c>
      <c r="H94" s="11"/>
      <c r="I94" s="11"/>
      <c r="J94" s="11"/>
    </row>
    <row r="95" spans="1:10" ht="15.75" x14ac:dyDescent="0.3">
      <c r="A95" s="13" t="str">
        <f>HYPERLINK("https://parts-sales.ru/parts/MAN/06010136914","06.01013-6914")</f>
        <v>06.01013-6914</v>
      </c>
      <c r="B95" s="13" t="str">
        <f>HYPERLINK("https://parts-sales.ru/parts/MAN/06010136914","6-гранный установочный винт M6X45-8.8-MA")</f>
        <v>6-гранный установочный винт M6X45-8.8-MA</v>
      </c>
      <c r="C95" s="5" t="s">
        <v>6</v>
      </c>
      <c r="D95" s="6">
        <v>268.8</v>
      </c>
      <c r="E95" s="6">
        <v>57</v>
      </c>
      <c r="F95" s="9">
        <v>0.79</v>
      </c>
      <c r="H95" s="11"/>
      <c r="I95" s="11"/>
      <c r="J95" s="11"/>
    </row>
    <row r="96" spans="1:10" ht="15.75" x14ac:dyDescent="0.3">
      <c r="A96" s="12" t="str">
        <f>HYPERLINK("https://parts-sales.ru/parts/MAN/06010137116","06.01013-7116")</f>
        <v>06.01013-7116</v>
      </c>
      <c r="B96" s="12" t="str">
        <f>HYPERLINK("https://parts-sales.ru/parts/MAN/06010137116","6-гранный установочный винт M8X55-8.8-MA")</f>
        <v>6-гранный установочный винт M8X55-8.8-MA</v>
      </c>
      <c r="C96" s="3" t="s">
        <v>6</v>
      </c>
      <c r="D96" s="4">
        <v>223.2</v>
      </c>
      <c r="E96" s="4">
        <v>45</v>
      </c>
      <c r="F96" s="8">
        <v>0.8</v>
      </c>
      <c r="H96" s="11"/>
      <c r="I96" s="11"/>
      <c r="J96" s="11"/>
    </row>
    <row r="97" spans="1:10" ht="15.75" x14ac:dyDescent="0.3">
      <c r="A97" s="13" t="str">
        <f>HYPERLINK("https://parts-sales.ru/parts/MAN/06010137124","06.01013-7124")</f>
        <v>06.01013-7124</v>
      </c>
      <c r="B97" s="13" t="str">
        <f>HYPERLINK("https://parts-sales.ru/parts/MAN/06010137124","6-гранный установочный винт M8X95-8.8-A-")</f>
        <v>6-гранный установочный винт M8X95-8.8-A-</v>
      </c>
      <c r="C97" s="5" t="s">
        <v>6</v>
      </c>
      <c r="D97" s="6">
        <v>291.60000000000002</v>
      </c>
      <c r="E97" s="6">
        <v>89</v>
      </c>
      <c r="F97" s="9">
        <v>0.69</v>
      </c>
      <c r="H97" s="11"/>
      <c r="I97" s="11"/>
      <c r="J97" s="11"/>
    </row>
    <row r="98" spans="1:10" ht="15.75" x14ac:dyDescent="0.3">
      <c r="A98" s="12" t="str">
        <f>HYPERLINK("https://parts-sales.ru/parts/MAN/06010137126","06.01013-7126")</f>
        <v>06.01013-7126</v>
      </c>
      <c r="B98" s="12" t="str">
        <f>HYPERLINK("https://parts-sales.ru/parts/MAN/06010137126","6-гранный установочный винт M8X110-8.8-M")</f>
        <v>6-гранный установочный винт M8X110-8.8-M</v>
      </c>
      <c r="C98" s="3" t="s">
        <v>6</v>
      </c>
      <c r="D98" s="4">
        <v>378</v>
      </c>
      <c r="E98" s="4">
        <v>123</v>
      </c>
      <c r="F98" s="8">
        <v>0.67</v>
      </c>
      <c r="H98" s="11"/>
      <c r="I98" s="11"/>
      <c r="J98" s="11"/>
    </row>
    <row r="99" spans="1:10" ht="15.75" x14ac:dyDescent="0.3">
      <c r="A99" s="13" t="str">
        <f>HYPERLINK("https://parts-sales.ru/parts/MAN/06010137127","06.01013-7127")</f>
        <v>06.01013-7127</v>
      </c>
      <c r="B99" s="13" t="str">
        <f>HYPERLINK("https://parts-sales.ru/parts/MAN/06010137127","6-гранный установочный винт M8X120-8.8-M")</f>
        <v>6-гранный установочный винт M8X120-8.8-M</v>
      </c>
      <c r="C99" s="5" t="s">
        <v>6</v>
      </c>
      <c r="D99" s="6">
        <v>361.2</v>
      </c>
      <c r="E99" s="6">
        <v>79</v>
      </c>
      <c r="F99" s="9">
        <v>0.78</v>
      </c>
      <c r="H99" s="11"/>
      <c r="I99" s="11"/>
      <c r="J99" s="11"/>
    </row>
    <row r="100" spans="1:10" ht="15.75" x14ac:dyDescent="0.3">
      <c r="A100" s="12" t="str">
        <f>HYPERLINK("https://parts-sales.ru/parts/MAN/06010137130","06.01013-7130")</f>
        <v>06.01013-7130</v>
      </c>
      <c r="B100" s="12" t="str">
        <f>HYPERLINK("https://parts-sales.ru/parts/MAN/06010137130","6-гранный установочный винт M8X150-8.8-M")</f>
        <v>6-гранный установочный винт M8X150-8.8-M</v>
      </c>
      <c r="C100" s="3" t="s">
        <v>6</v>
      </c>
      <c r="D100" s="4">
        <v>414</v>
      </c>
      <c r="E100" s="4">
        <v>30</v>
      </c>
      <c r="F100" s="8">
        <v>0.93</v>
      </c>
      <c r="H100" s="11"/>
      <c r="I100" s="11"/>
      <c r="J100" s="11"/>
    </row>
    <row r="101" spans="1:10" ht="15.75" x14ac:dyDescent="0.3">
      <c r="A101" s="13" t="str">
        <f>HYPERLINK("https://parts-sales.ru/parts/MAN/06010137134","06.01013-7134")</f>
        <v>06.01013-7134</v>
      </c>
      <c r="B101" s="13" t="str">
        <f>HYPERLINK("https://parts-sales.ru/parts/MAN/06010137134","6-гранный установочный винт M8X190-8.8-M")</f>
        <v>6-гранный установочный винт M8X190-8.8-M</v>
      </c>
      <c r="C101" s="5" t="s">
        <v>6</v>
      </c>
      <c r="D101" s="6">
        <v>483.6</v>
      </c>
      <c r="E101" s="6">
        <v>38</v>
      </c>
      <c r="F101" s="9">
        <v>0.92</v>
      </c>
      <c r="H101" s="11"/>
      <c r="I101" s="11"/>
      <c r="J101" s="11"/>
    </row>
    <row r="102" spans="1:10" ht="15.75" x14ac:dyDescent="0.3">
      <c r="A102" s="12" t="str">
        <f>HYPERLINK("https://parts-sales.ru/parts/MAN/06010147213","06.01014-7213")</f>
        <v>06.01014-7213</v>
      </c>
      <c r="B102" s="12" t="str">
        <f>HYPERLINK("https://parts-sales.ru/parts/MAN/06010147213","6-гранный установочный винт M10X40-10.9-")</f>
        <v>6-гранный установочный винт M10X40-10.9-</v>
      </c>
      <c r="C102" s="3" t="s">
        <v>6</v>
      </c>
      <c r="D102" s="4">
        <v>417.6</v>
      </c>
      <c r="E102" s="4">
        <v>95</v>
      </c>
      <c r="F102" s="8">
        <v>0.77</v>
      </c>
      <c r="H102" s="11"/>
      <c r="I102" s="11"/>
      <c r="J102" s="11"/>
    </row>
    <row r="103" spans="1:10" ht="15.75" x14ac:dyDescent="0.3">
      <c r="A103" s="13" t="str">
        <f>HYPERLINK("https://parts-sales.ru/parts/MAN/06010147218","06.01014-7218")</f>
        <v>06.01014-7218</v>
      </c>
      <c r="B103" s="13" t="str">
        <f>HYPERLINK("https://parts-sales.ru/parts/MAN/06010147218","Винт с 6-гранной головкой M10X65-10.9-MA")</f>
        <v>Винт с 6-гранной головкой M10X65-10.9-MA</v>
      </c>
      <c r="C103" s="5" t="s">
        <v>6</v>
      </c>
      <c r="D103" s="6">
        <v>872.4</v>
      </c>
      <c r="E103" s="6">
        <v>324</v>
      </c>
      <c r="F103" s="9">
        <v>0.63</v>
      </c>
      <c r="H103" s="11"/>
      <c r="I103" s="11"/>
      <c r="J103" s="11"/>
    </row>
    <row r="104" spans="1:10" ht="15.75" x14ac:dyDescent="0.3">
      <c r="A104" s="12" t="str">
        <f>HYPERLINK("https://parts-sales.ru/parts/MAN/06010147317","06.01014-7317")</f>
        <v>06.01014-7317</v>
      </c>
      <c r="B104" s="12" t="str">
        <f>HYPERLINK("https://parts-sales.ru/parts/MAN/06010147317","6-гранный установочный винт M12X60-10.9-")</f>
        <v>6-гранный установочный винт M12X60-10.9-</v>
      </c>
      <c r="C104" s="3" t="s">
        <v>6</v>
      </c>
      <c r="D104" s="4">
        <v>439.2</v>
      </c>
      <c r="E104" s="4">
        <v>130</v>
      </c>
      <c r="F104" s="8">
        <v>0.7</v>
      </c>
      <c r="H104" s="11"/>
      <c r="I104" s="11"/>
      <c r="J104" s="11"/>
    </row>
    <row r="105" spans="1:10" ht="15.75" x14ac:dyDescent="0.3">
      <c r="A105" s="13" t="str">
        <f>HYPERLINK("https://parts-sales.ru/parts/MAN/06010149125","06.01014-9125")</f>
        <v>06.01014-9125</v>
      </c>
      <c r="B105" s="13" t="str">
        <f>HYPERLINK("https://parts-sales.ru/parts/MAN/06010149125","6-гранный установочный винт M8X100-10.9-")</f>
        <v>6-гранный установочный винт M8X100-10.9-</v>
      </c>
      <c r="C105" s="5" t="s">
        <v>6</v>
      </c>
      <c r="D105" s="6">
        <v>308.39999999999998</v>
      </c>
      <c r="E105" s="6">
        <v>51</v>
      </c>
      <c r="F105" s="9">
        <v>0.83</v>
      </c>
      <c r="H105" s="11"/>
      <c r="I105" s="11"/>
      <c r="J105" s="11"/>
    </row>
    <row r="106" spans="1:10" ht="15.75" x14ac:dyDescent="0.3">
      <c r="A106" s="12" t="str">
        <f>HYPERLINK("https://parts-sales.ru/parts/MAN/06010149321","06.01014-9321")</f>
        <v>06.01014-9321</v>
      </c>
      <c r="B106" s="12" t="str">
        <f>HYPERLINK("https://parts-sales.ru/parts/MAN/06010149321","6-гранный установочный винт M12X80-10.9-")</f>
        <v>6-гранный установочный винт M12X80-10.9-</v>
      </c>
      <c r="C106" s="3" t="s">
        <v>6</v>
      </c>
      <c r="D106" s="4">
        <v>1514.4</v>
      </c>
      <c r="E106" s="4">
        <v>264</v>
      </c>
      <c r="F106" s="8">
        <v>0.83</v>
      </c>
      <c r="H106" s="11"/>
      <c r="I106" s="11"/>
      <c r="J106" s="11"/>
    </row>
    <row r="107" spans="1:10" ht="15.75" x14ac:dyDescent="0.3">
      <c r="A107" s="13" t="str">
        <f>HYPERLINK("https://parts-sales.ru/parts/MAN/06010190110","06.01019-0110")</f>
        <v>06.01019-0110</v>
      </c>
      <c r="B107" s="13" t="str">
        <f>HYPERLINK("https://parts-sales.ru/parts/MAN/06010190110","6-гранный установочный винт M12X45-8.8-A")</f>
        <v>6-гранный установочный винт M12X45-8.8-A</v>
      </c>
      <c r="C107" s="5" t="s">
        <v>6</v>
      </c>
      <c r="D107" s="6">
        <v>285.60000000000002</v>
      </c>
      <c r="E107" s="6">
        <v>58</v>
      </c>
      <c r="F107" s="9">
        <v>0.8</v>
      </c>
      <c r="H107" s="11"/>
      <c r="I107" s="11"/>
      <c r="J107" s="11"/>
    </row>
    <row r="108" spans="1:10" ht="15.75" x14ac:dyDescent="0.3">
      <c r="A108" s="12" t="str">
        <f>HYPERLINK("https://parts-sales.ru/parts/MAN/06010190139","06.01019-0139")</f>
        <v>06.01019-0139</v>
      </c>
      <c r="B108" s="12" t="str">
        <f>HYPERLINK("https://parts-sales.ru/parts/MAN/06010190139","6-гранный установочный винт M10X100-8.8-")</f>
        <v>6-гранный установочный винт M10X100-8.8-</v>
      </c>
      <c r="C108" s="3" t="s">
        <v>6</v>
      </c>
      <c r="D108" s="4">
        <v>849.6</v>
      </c>
      <c r="E108" s="4">
        <v>167</v>
      </c>
      <c r="F108" s="8">
        <v>0.8</v>
      </c>
      <c r="H108" s="11"/>
      <c r="I108" s="11"/>
      <c r="J108" s="11"/>
    </row>
    <row r="109" spans="1:10" ht="15.75" x14ac:dyDescent="0.3">
      <c r="A109" s="13" t="str">
        <f>HYPERLINK("https://parts-sales.ru/parts/MAN/06010190312","06.01019-0312")</f>
        <v>06.01019-0312</v>
      </c>
      <c r="B109" s="13" t="str">
        <f>HYPERLINK("https://parts-sales.ru/parts/MAN/06010190312","6-гранный установочный винт M6X40-8.8-DE")</f>
        <v>6-гранный установочный винт M6X40-8.8-DE</v>
      </c>
      <c r="C109" s="5" t="s">
        <v>6</v>
      </c>
      <c r="D109" s="6">
        <v>216</v>
      </c>
      <c r="E109" s="6">
        <v>58</v>
      </c>
      <c r="F109" s="9">
        <v>0.73</v>
      </c>
      <c r="H109" s="11"/>
      <c r="I109" s="11"/>
      <c r="J109" s="11"/>
    </row>
    <row r="110" spans="1:10" ht="15.75" x14ac:dyDescent="0.3">
      <c r="A110" s="12" t="str">
        <f>HYPERLINK("https://parts-sales.ru/parts/MAN/06010190357","06.01019-0357")</f>
        <v>06.01019-0357</v>
      </c>
      <c r="B110" s="12" t="str">
        <f>HYPERLINK("https://parts-sales.ru/parts/MAN/06010190357","6-гранный установочный винт M8X35XLS18-8")</f>
        <v>6-гранный установочный винт M8X35XLS18-8</v>
      </c>
      <c r="C110" s="3" t="s">
        <v>6</v>
      </c>
      <c r="D110" s="4">
        <v>211.2</v>
      </c>
      <c r="E110" s="4">
        <v>12</v>
      </c>
      <c r="F110" s="8">
        <v>0.94</v>
      </c>
      <c r="H110" s="11"/>
      <c r="I110" s="11"/>
      <c r="J110" s="11"/>
    </row>
    <row r="111" spans="1:10" ht="15.75" x14ac:dyDescent="0.3">
      <c r="A111" s="13" t="str">
        <f>HYPERLINK("https://parts-sales.ru/parts/MAN/06011390044","06.01139-0044")</f>
        <v>06.01139-0044</v>
      </c>
      <c r="B111" s="13" t="str">
        <f>HYPERLINK("https://parts-sales.ru/parts/MAN/06011390044","6-гранный установочный винт M18X180-10.9")</f>
        <v>6-гранный установочный винт M18X180-10.9</v>
      </c>
      <c r="C111" s="5" t="s">
        <v>6</v>
      </c>
      <c r="D111" s="6">
        <v>3392.4</v>
      </c>
      <c r="E111" s="6">
        <v>810</v>
      </c>
      <c r="F111" s="9">
        <v>0.76</v>
      </c>
      <c r="H111" s="11"/>
      <c r="I111" s="11"/>
      <c r="J111" s="11"/>
    </row>
    <row r="112" spans="1:10" ht="15.75" x14ac:dyDescent="0.3">
      <c r="A112" s="12" t="str">
        <f>HYPERLINK("https://parts-sales.ru/parts/MAN/06012832720","06.01283-2720")</f>
        <v>06.01283-2720</v>
      </c>
      <c r="B112" s="12" t="str">
        <f>HYPERLINK("https://parts-sales.ru/parts/MAN/06012832720","Винт с 6-гранной головкой M4X45-8.8-MAN1")</f>
        <v>Винт с 6-гранной головкой M4X45-8.8-MAN1</v>
      </c>
      <c r="C112" s="3" t="s">
        <v>6</v>
      </c>
      <c r="D112" s="4">
        <v>361.2</v>
      </c>
      <c r="E112" s="4">
        <v>2</v>
      </c>
      <c r="F112" s="8">
        <v>0.99</v>
      </c>
      <c r="H112" s="11"/>
      <c r="I112" s="11"/>
      <c r="J112" s="11"/>
    </row>
    <row r="113" spans="1:10" ht="15.75" x14ac:dyDescent="0.3">
      <c r="A113" s="13" t="str">
        <f>HYPERLINK("https://parts-sales.ru/parts/MAN/06012832817","06.01283-2817")</f>
        <v>06.01283-2817</v>
      </c>
      <c r="B113" s="13" t="str">
        <f>HYPERLINK("https://parts-sales.ru/parts/MAN/06012832817","Винт с 6-гранной головкой M5X30-8.8-MAN1")</f>
        <v>Винт с 6-гранной головкой M5X30-8.8-MAN1</v>
      </c>
      <c r="C113" s="5" t="s">
        <v>6</v>
      </c>
      <c r="D113" s="6">
        <v>250.8</v>
      </c>
      <c r="E113" s="6">
        <v>59</v>
      </c>
      <c r="F113" s="9">
        <v>0.76</v>
      </c>
      <c r="H113" s="11"/>
      <c r="I113" s="11"/>
      <c r="J113" s="11"/>
    </row>
    <row r="114" spans="1:10" ht="15.75" x14ac:dyDescent="0.3">
      <c r="A114" s="12" t="str">
        <f>HYPERLINK("https://parts-sales.ru/parts/MAN/06012834810","06.01283-4810")</f>
        <v>06.01283-4810</v>
      </c>
      <c r="B114" s="12" t="str">
        <f>HYPERLINK("https://parts-sales.ru/parts/MAN/06012834810","Винт с 6-гранной головкой M5X12-8.8-MAN1")</f>
        <v>Винт с 6-гранной головкой M5X12-8.8-MAN1</v>
      </c>
      <c r="C114" s="3" t="s">
        <v>6</v>
      </c>
      <c r="D114" s="4">
        <v>202.8</v>
      </c>
      <c r="E114" s="4">
        <v>11</v>
      </c>
      <c r="F114" s="8">
        <v>0.95</v>
      </c>
      <c r="H114" s="11"/>
      <c r="I114" s="11"/>
      <c r="J114" s="11"/>
    </row>
    <row r="115" spans="1:10" ht="15.75" x14ac:dyDescent="0.3">
      <c r="A115" s="13" t="str">
        <f>HYPERLINK("https://parts-sales.ru/parts/MAN/06012834905","06.01283-4905")</f>
        <v>06.01283-4905</v>
      </c>
      <c r="B115" s="13" t="str">
        <f>HYPERLINK("https://parts-sales.ru/parts/MAN/06012834905","Винт с 6-гранной головкой M6X6-8.8-MAN18")</f>
        <v>Винт с 6-гранной головкой M6X6-8.8-MAN18</v>
      </c>
      <c r="C115" s="5" t="s">
        <v>6</v>
      </c>
      <c r="D115" s="6">
        <v>198</v>
      </c>
      <c r="E115" s="6">
        <v>4</v>
      </c>
      <c r="F115" s="9">
        <v>0.98</v>
      </c>
      <c r="H115" s="11"/>
      <c r="I115" s="11"/>
      <c r="J115" s="11"/>
    </row>
    <row r="116" spans="1:10" ht="15.75" x14ac:dyDescent="0.3">
      <c r="A116" s="12" t="str">
        <f>HYPERLINK("https://parts-sales.ru/parts/MAN/06012834909","06.01283-4909")</f>
        <v>06.01283-4909</v>
      </c>
      <c r="B116" s="12" t="str">
        <f>HYPERLINK("https://parts-sales.ru/parts/MAN/06012834909","Винт с 6-гранной головкой M6X10-8.8-MAN1")</f>
        <v>Винт с 6-гранной головкой M6X10-8.8-MAN1</v>
      </c>
      <c r="C116" s="3" t="s">
        <v>6</v>
      </c>
      <c r="D116" s="4">
        <v>231.6</v>
      </c>
      <c r="E116" s="4">
        <v>9</v>
      </c>
      <c r="F116" s="8">
        <v>0.96</v>
      </c>
      <c r="H116" s="11"/>
      <c r="I116" s="11"/>
      <c r="J116" s="11"/>
    </row>
    <row r="117" spans="1:10" ht="15.75" x14ac:dyDescent="0.3">
      <c r="A117" s="13" t="str">
        <f>HYPERLINK("https://parts-sales.ru/parts/MAN/06012834910","06.01283-4910")</f>
        <v>06.01283-4910</v>
      </c>
      <c r="B117" s="13" t="str">
        <f>HYPERLINK("https://parts-sales.ru/parts/MAN/06012834910","Винт с 6-гранной головкой M6X12-8.8-MAN1")</f>
        <v>Винт с 6-гранной головкой M6X12-8.8-MAN1</v>
      </c>
      <c r="C117" s="5" t="s">
        <v>6</v>
      </c>
      <c r="D117" s="6">
        <v>252</v>
      </c>
      <c r="E117" s="6">
        <v>1</v>
      </c>
      <c r="F117" s="9">
        <v>1</v>
      </c>
      <c r="H117" s="11"/>
      <c r="I117" s="11"/>
      <c r="J117" s="11"/>
    </row>
    <row r="118" spans="1:10" ht="15.75" x14ac:dyDescent="0.3">
      <c r="A118" s="12" t="str">
        <f>HYPERLINK("https://parts-sales.ru/parts/MAN/06012834911","06.01283-4911")</f>
        <v>06.01283-4911</v>
      </c>
      <c r="B118" s="12" t="str">
        <f>HYPERLINK("https://parts-sales.ru/parts/MAN/06012834911","Винт с 6-гранной головкой M6X16-8.8-MAN1")</f>
        <v>Винт с 6-гранной головкой M6X16-8.8-MAN1</v>
      </c>
      <c r="C118" s="3" t="s">
        <v>6</v>
      </c>
      <c r="D118" s="4">
        <v>277.2</v>
      </c>
      <c r="E118" s="4">
        <v>127</v>
      </c>
      <c r="F118" s="8">
        <v>0.54</v>
      </c>
      <c r="H118" s="11"/>
      <c r="I118" s="11"/>
      <c r="J118" s="11"/>
    </row>
    <row r="119" spans="1:10" ht="15.75" x14ac:dyDescent="0.3">
      <c r="A119" s="13" t="str">
        <f>HYPERLINK("https://parts-sales.ru/parts/MAN/06012834914","06.01283-4914")</f>
        <v>06.01283-4914</v>
      </c>
      <c r="B119" s="13" t="str">
        <f>HYPERLINK("https://parts-sales.ru/parts/MAN/06012834914","Винт с 6-гранной головкой M6X22-8.8-MAN1")</f>
        <v>Винт с 6-гранной головкой M6X22-8.8-MAN1</v>
      </c>
      <c r="C119" s="5" t="s">
        <v>6</v>
      </c>
      <c r="D119" s="6">
        <v>315.79000000000002</v>
      </c>
      <c r="E119" s="6">
        <v>36</v>
      </c>
      <c r="F119" s="9">
        <v>0.89</v>
      </c>
      <c r="H119" s="11"/>
      <c r="I119" s="11"/>
      <c r="J119" s="11"/>
    </row>
    <row r="120" spans="1:10" ht="15.75" x14ac:dyDescent="0.3">
      <c r="A120" s="12" t="str">
        <f>HYPERLINK("https://parts-sales.ru/parts/MAN/06012834917","06.01283-4917")</f>
        <v>06.01283-4917</v>
      </c>
      <c r="B120" s="12" t="str">
        <f>HYPERLINK("https://parts-sales.ru/parts/MAN/06012834917","Винт с 6-гранной головкой M6X30-8.8-MAN1")</f>
        <v>Винт с 6-гранной головкой M6X30-8.8-MAN1</v>
      </c>
      <c r="C120" s="3" t="s">
        <v>6</v>
      </c>
      <c r="D120" s="4">
        <v>374.4</v>
      </c>
      <c r="E120" s="4">
        <v>6</v>
      </c>
      <c r="F120" s="8">
        <v>0.98</v>
      </c>
      <c r="H120" s="11"/>
      <c r="I120" s="11"/>
      <c r="J120" s="11"/>
    </row>
    <row r="121" spans="1:10" ht="15.75" x14ac:dyDescent="0.3">
      <c r="A121" s="13" t="str">
        <f>HYPERLINK("https://parts-sales.ru/parts/MAN/06012834918","06.01283-4918")</f>
        <v>06.01283-4918</v>
      </c>
      <c r="B121" s="13" t="str">
        <f>HYPERLINK("https://parts-sales.ru/parts/MAN/06012834918","Винт с 6-гранной головкой M6X35-8.8-MAN1")</f>
        <v>Винт с 6-гранной головкой M6X35-8.8-MAN1</v>
      </c>
      <c r="C121" s="5" t="s">
        <v>6</v>
      </c>
      <c r="D121" s="6">
        <v>420</v>
      </c>
      <c r="E121" s="6">
        <v>25</v>
      </c>
      <c r="F121" s="9">
        <v>0.94</v>
      </c>
      <c r="H121" s="11"/>
      <c r="I121" s="11"/>
      <c r="J121" s="11"/>
    </row>
    <row r="122" spans="1:10" ht="15.75" x14ac:dyDescent="0.3">
      <c r="A122" s="12" t="str">
        <f>HYPERLINK("https://parts-sales.ru/parts/MAN/06012834919","06.01283-4919")</f>
        <v>06.01283-4919</v>
      </c>
      <c r="B122" s="12" t="str">
        <f>HYPERLINK("https://parts-sales.ru/parts/MAN/06012834919","Винт с 6-гранной головкой M6X40-8.8-MAN1")</f>
        <v>Винт с 6-гранной головкой M6X40-8.8-MAN1</v>
      </c>
      <c r="C122" s="3" t="s">
        <v>6</v>
      </c>
      <c r="D122" s="4">
        <v>189.6</v>
      </c>
      <c r="E122" s="4">
        <v>2</v>
      </c>
      <c r="F122" s="8">
        <v>0.99</v>
      </c>
      <c r="H122" s="11"/>
      <c r="I122" s="11"/>
      <c r="J122" s="11"/>
    </row>
    <row r="123" spans="1:10" ht="15.75" x14ac:dyDescent="0.3">
      <c r="A123" s="13" t="str">
        <f>HYPERLINK("https://parts-sales.ru/parts/MAN/06012834920","06.01283-4920")</f>
        <v>06.01283-4920</v>
      </c>
      <c r="B123" s="13" t="str">
        <f>HYPERLINK("https://parts-sales.ru/parts/MAN/06012834920","Винт с 6-гранной головкой M6X45-8.8-MAN1")</f>
        <v>Винт с 6-гранной головкой M6X45-8.8-MAN1</v>
      </c>
      <c r="C123" s="5" t="s">
        <v>6</v>
      </c>
      <c r="D123" s="6">
        <v>440.4</v>
      </c>
      <c r="E123" s="6">
        <v>94</v>
      </c>
      <c r="F123" s="9">
        <v>0.79</v>
      </c>
      <c r="H123" s="11"/>
      <c r="I123" s="11"/>
      <c r="J123" s="11"/>
    </row>
    <row r="124" spans="1:10" ht="15.75" x14ac:dyDescent="0.3">
      <c r="A124" s="12" t="str">
        <f>HYPERLINK("https://parts-sales.ru/parts/MAN/06012834921","06.01283-4921")</f>
        <v>06.01283-4921</v>
      </c>
      <c r="B124" s="12" t="str">
        <f>HYPERLINK("https://parts-sales.ru/parts/MAN/06012834921","Винт с 6-гранной головкой M6X50-8.8-MAN1")</f>
        <v>Винт с 6-гранной головкой M6X50-8.8-MAN1</v>
      </c>
      <c r="C124" s="3" t="s">
        <v>6</v>
      </c>
      <c r="D124" s="4">
        <v>519.6</v>
      </c>
      <c r="E124" s="4">
        <v>57</v>
      </c>
      <c r="F124" s="8">
        <v>0.89</v>
      </c>
      <c r="H124" s="11"/>
      <c r="I124" s="11"/>
      <c r="J124" s="11"/>
    </row>
    <row r="125" spans="1:10" ht="15.75" x14ac:dyDescent="0.3">
      <c r="A125" s="13" t="str">
        <f>HYPERLINK("https://parts-sales.ru/parts/MAN/06012834922","06.01283-4922")</f>
        <v>06.01283-4922</v>
      </c>
      <c r="B125" s="13" t="str">
        <f>HYPERLINK("https://parts-sales.ru/parts/MAN/06012834922","Винт с 6-гранной головкой M6X55-8.8-MAN1")</f>
        <v>Винт с 6-гранной головкой M6X55-8.8-MAN1</v>
      </c>
      <c r="C125" s="5" t="s">
        <v>6</v>
      </c>
      <c r="D125" s="6">
        <v>739.2</v>
      </c>
      <c r="E125" s="6">
        <v>9</v>
      </c>
      <c r="F125" s="9">
        <v>0.99</v>
      </c>
      <c r="H125" s="11"/>
      <c r="I125" s="11"/>
      <c r="J125" s="11"/>
    </row>
    <row r="126" spans="1:10" ht="15.75" x14ac:dyDescent="0.3">
      <c r="A126" s="12" t="str">
        <f>HYPERLINK("https://parts-sales.ru/parts/MAN/06012835110","06.01283-5110")</f>
        <v>06.01283-5110</v>
      </c>
      <c r="B126" s="12" t="str">
        <f>HYPERLINK("https://parts-sales.ru/parts/MAN/06012835110","Винт с 6-гранной головкой M8X12-8.8-MAN1")</f>
        <v>Винт с 6-гранной головкой M8X12-8.8-MAN1</v>
      </c>
      <c r="C126" s="3" t="s">
        <v>6</v>
      </c>
      <c r="D126" s="4">
        <v>361.2</v>
      </c>
      <c r="E126" s="4">
        <v>18</v>
      </c>
      <c r="F126" s="8">
        <v>0.95</v>
      </c>
      <c r="H126" s="11"/>
      <c r="I126" s="11"/>
      <c r="J126" s="11"/>
    </row>
    <row r="127" spans="1:10" ht="15.75" x14ac:dyDescent="0.3">
      <c r="A127" s="13" t="str">
        <f>HYPERLINK("https://parts-sales.ru/parts/MAN/06012835111","06.01283-5111")</f>
        <v>06.01283-5111</v>
      </c>
      <c r="B127" s="13" t="str">
        <f>HYPERLINK("https://parts-sales.ru/parts/MAN/06012835111","Винт с 6-гранной головкой M8X16-8.8-MAN1")</f>
        <v>Винт с 6-гранной головкой M8X16-8.8-MAN1</v>
      </c>
      <c r="C127" s="5" t="s">
        <v>6</v>
      </c>
      <c r="D127" s="6">
        <v>374.4</v>
      </c>
      <c r="E127" s="6">
        <v>9</v>
      </c>
      <c r="F127" s="9">
        <v>0.98</v>
      </c>
      <c r="H127" s="11"/>
      <c r="I127" s="11"/>
      <c r="J127" s="11"/>
    </row>
    <row r="128" spans="1:10" ht="15.75" x14ac:dyDescent="0.3">
      <c r="A128" s="12" t="str">
        <f>HYPERLINK("https://parts-sales.ru/parts/MAN/06012835112","06.01283-5112")</f>
        <v>06.01283-5112</v>
      </c>
      <c r="B128" s="12" t="str">
        <f>HYPERLINK("https://parts-sales.ru/parts/MAN/06012835112","Винт с 6-гранной головкой M8X18-8.8-MAN1")</f>
        <v>Винт с 6-гранной головкой M8X18-8.8-MAN1</v>
      </c>
      <c r="C128" s="3" t="s">
        <v>6</v>
      </c>
      <c r="D128" s="4">
        <v>64.8</v>
      </c>
      <c r="E128" s="4">
        <v>4</v>
      </c>
      <c r="F128" s="8">
        <v>0.94</v>
      </c>
      <c r="H128" s="11"/>
      <c r="I128" s="11"/>
      <c r="J128" s="11"/>
    </row>
    <row r="129" spans="1:10" ht="15.75" x14ac:dyDescent="0.3">
      <c r="A129" s="13" t="str">
        <f>HYPERLINK("https://parts-sales.ru/parts/MAN/06012835113","06.01283-5113")</f>
        <v>06.01283-5113</v>
      </c>
      <c r="B129" s="13" t="str">
        <f>HYPERLINK("https://parts-sales.ru/parts/MAN/06012835113","Винт с 6-гранной головкой M8X20-8.8-MAN1")</f>
        <v>Винт с 6-гранной головкой M8X20-8.8-MAN1</v>
      </c>
      <c r="C129" s="5" t="s">
        <v>6</v>
      </c>
      <c r="D129" s="6">
        <v>432</v>
      </c>
      <c r="E129" s="6">
        <v>12</v>
      </c>
      <c r="F129" s="9">
        <v>0.97</v>
      </c>
      <c r="H129" s="11"/>
      <c r="I129" s="11"/>
      <c r="J129" s="11"/>
    </row>
    <row r="130" spans="1:10" ht="15.75" x14ac:dyDescent="0.3">
      <c r="A130" s="12" t="str">
        <f>HYPERLINK("https://parts-sales.ru/parts/MAN/06012835114","06.01283-5114")</f>
        <v>06.01283-5114</v>
      </c>
      <c r="B130" s="12" t="str">
        <f>HYPERLINK("https://parts-sales.ru/parts/MAN/06012835114","Винт с 6-гранной головкой M8X22-8.8-MAN1")</f>
        <v>Винт с 6-гранной головкой M8X22-8.8-MAN1</v>
      </c>
      <c r="C130" s="3" t="s">
        <v>6</v>
      </c>
      <c r="D130" s="4">
        <v>406.8</v>
      </c>
      <c r="E130" s="4">
        <v>13</v>
      </c>
      <c r="F130" s="8">
        <v>0.97</v>
      </c>
      <c r="H130" s="11"/>
      <c r="I130" s="11"/>
      <c r="J130" s="11"/>
    </row>
    <row r="131" spans="1:10" ht="15.75" x14ac:dyDescent="0.3">
      <c r="A131" s="13" t="str">
        <f>HYPERLINK("https://parts-sales.ru/parts/MAN/06012835115","06.01283-5115")</f>
        <v>06.01283-5115</v>
      </c>
      <c r="B131" s="13" t="str">
        <f>HYPERLINK("https://parts-sales.ru/parts/MAN/06012835115","Винт с 6-гранной головкой M8X25-8.8-MAN1")</f>
        <v>Винт с 6-гранной головкой M8X25-8.8-MAN1</v>
      </c>
      <c r="C131" s="5" t="s">
        <v>6</v>
      </c>
      <c r="D131" s="6">
        <v>468</v>
      </c>
      <c r="E131" s="6">
        <v>65</v>
      </c>
      <c r="F131" s="9">
        <v>0.86</v>
      </c>
      <c r="H131" s="11"/>
      <c r="I131" s="11"/>
      <c r="J131" s="11"/>
    </row>
    <row r="132" spans="1:10" ht="15.75" x14ac:dyDescent="0.3">
      <c r="A132" s="12" t="str">
        <f>HYPERLINK("https://parts-sales.ru/parts/MAN/06012835116","06.01283-5116")</f>
        <v>06.01283-5116</v>
      </c>
      <c r="B132" s="12" t="str">
        <f>HYPERLINK("https://parts-sales.ru/parts/MAN/06012835116","Винт с 6-гранной головкой M8X28-8.8-MAN1")</f>
        <v>Винт с 6-гранной головкой M8X28-8.8-MAN1</v>
      </c>
      <c r="C132" s="3" t="s">
        <v>6</v>
      </c>
      <c r="D132" s="4">
        <v>486</v>
      </c>
      <c r="E132" s="4">
        <v>105</v>
      </c>
      <c r="F132" s="8">
        <v>0.78</v>
      </c>
      <c r="H132" s="11"/>
      <c r="I132" s="11"/>
      <c r="J132" s="11"/>
    </row>
    <row r="133" spans="1:10" ht="15.75" x14ac:dyDescent="0.3">
      <c r="A133" s="13" t="str">
        <f>HYPERLINK("https://parts-sales.ru/parts/MAN/06012835118","06.01283-5118")</f>
        <v>06.01283-5118</v>
      </c>
      <c r="B133" s="13" t="str">
        <f>HYPERLINK("https://parts-sales.ru/parts/MAN/06012835118","Винт с 6-гранной головкой M8X35-8.8-MAN1")</f>
        <v>Винт с 6-гранной головкой M8X35-8.8-MAN1</v>
      </c>
      <c r="C133" s="5" t="s">
        <v>6</v>
      </c>
      <c r="D133" s="6">
        <v>435.6</v>
      </c>
      <c r="E133" s="6">
        <v>170</v>
      </c>
      <c r="F133" s="9">
        <v>0.61</v>
      </c>
      <c r="H133" s="11"/>
      <c r="I133" s="11"/>
      <c r="J133" s="11"/>
    </row>
    <row r="134" spans="1:10" ht="15.75" x14ac:dyDescent="0.3">
      <c r="A134" s="12" t="str">
        <f>HYPERLINK("https://parts-sales.ru/parts/MAN/06012835119","06.01283-5119")</f>
        <v>06.01283-5119</v>
      </c>
      <c r="B134" s="12" t="str">
        <f>HYPERLINK("https://parts-sales.ru/parts/MAN/06012835119","Винт с 6-гранной головкой M8X40-8.8-MAN1")</f>
        <v>Винт с 6-гранной головкой M8X40-8.8-MAN1</v>
      </c>
      <c r="C134" s="3" t="s">
        <v>6</v>
      </c>
      <c r="D134" s="4">
        <v>440.4</v>
      </c>
      <c r="E134" s="4">
        <v>18</v>
      </c>
      <c r="F134" s="8">
        <v>0.96</v>
      </c>
      <c r="H134" s="11"/>
      <c r="I134" s="11"/>
      <c r="J134" s="11"/>
    </row>
    <row r="135" spans="1:10" ht="15.75" x14ac:dyDescent="0.3">
      <c r="A135" s="13" t="str">
        <f>HYPERLINK("https://parts-sales.ru/parts/MAN/06012835120","06.01283-5120")</f>
        <v>06.01283-5120</v>
      </c>
      <c r="B135" s="13" t="str">
        <f>HYPERLINK("https://parts-sales.ru/parts/MAN/06012835120","Винт с 6-гранной головкой M8X45-8.8-MAN1")</f>
        <v>Винт с 6-гранной головкой M8X45-8.8-MAN1</v>
      </c>
      <c r="C135" s="5" t="s">
        <v>6</v>
      </c>
      <c r="D135" s="6">
        <v>504</v>
      </c>
      <c r="E135" s="6">
        <v>195</v>
      </c>
      <c r="F135" s="9">
        <v>0.61</v>
      </c>
      <c r="H135" s="11"/>
      <c r="I135" s="11"/>
      <c r="J135" s="11"/>
    </row>
    <row r="136" spans="1:10" ht="15.75" x14ac:dyDescent="0.3">
      <c r="A136" s="12" t="str">
        <f>HYPERLINK("https://parts-sales.ru/parts/MAN/06012835212","06.01283-5212")</f>
        <v>06.01283-5212</v>
      </c>
      <c r="B136" s="12" t="str">
        <f>HYPERLINK("https://parts-sales.ru/parts/MAN/06012835212","Винт с 6-гранной головкой M10X18-8.8-MAN")</f>
        <v>Винт с 6-гранной головкой M10X18-8.8-MAN</v>
      </c>
      <c r="C136" s="3" t="s">
        <v>6</v>
      </c>
      <c r="D136" s="4">
        <v>283.2</v>
      </c>
      <c r="E136" s="4">
        <v>9</v>
      </c>
      <c r="F136" s="8">
        <v>0.97</v>
      </c>
      <c r="H136" s="11"/>
      <c r="I136" s="11"/>
      <c r="J136" s="11"/>
    </row>
    <row r="137" spans="1:10" ht="15.75" x14ac:dyDescent="0.3">
      <c r="A137" s="13" t="str">
        <f>HYPERLINK("https://parts-sales.ru/parts/MAN/06012835214","06.01283-5214")</f>
        <v>06.01283-5214</v>
      </c>
      <c r="B137" s="13" t="str">
        <f>HYPERLINK("https://parts-sales.ru/parts/MAN/06012835214","Винт с 6-гранной головкой M10X22-8.8-MAN")</f>
        <v>Винт с 6-гранной головкой M10X22-8.8-MAN</v>
      </c>
      <c r="C137" s="5" t="s">
        <v>6</v>
      </c>
      <c r="D137" s="6">
        <v>279.60000000000002</v>
      </c>
      <c r="E137" s="6">
        <v>5</v>
      </c>
      <c r="F137" s="9">
        <v>0.98</v>
      </c>
      <c r="H137" s="11"/>
      <c r="I137" s="11"/>
      <c r="J137" s="11"/>
    </row>
    <row r="138" spans="1:10" ht="15.75" x14ac:dyDescent="0.3">
      <c r="A138" s="12" t="str">
        <f>HYPERLINK("https://parts-sales.ru/parts/MAN/06012835215","06.01283-5215")</f>
        <v>06.01283-5215</v>
      </c>
      <c r="B138" s="12" t="str">
        <f>HYPERLINK("https://parts-sales.ru/parts/MAN/06012835215","Винт с 6-гранной головкой M10X25-8.8-MAN")</f>
        <v>Винт с 6-гранной головкой M10X25-8.8-MAN</v>
      </c>
      <c r="C138" s="3" t="s">
        <v>6</v>
      </c>
      <c r="D138" s="4">
        <v>379.2</v>
      </c>
      <c r="E138" s="4">
        <v>7</v>
      </c>
      <c r="F138" s="8">
        <v>0.98</v>
      </c>
      <c r="H138" s="11"/>
      <c r="I138" s="11"/>
      <c r="J138" s="11"/>
    </row>
    <row r="139" spans="1:10" ht="15.75" x14ac:dyDescent="0.3">
      <c r="A139" s="13" t="str">
        <f>HYPERLINK("https://parts-sales.ru/parts/MAN/06012835217","06.01283-5217")</f>
        <v>06.01283-5217</v>
      </c>
      <c r="B139" s="13" t="str">
        <f>HYPERLINK("https://parts-sales.ru/parts/MAN/06012835217","Винт с 6-гранной головкой M10X30-8.8-MAN")</f>
        <v>Винт с 6-гранной головкой M10X30-8.8-MAN</v>
      </c>
      <c r="C139" s="5" t="s">
        <v>6</v>
      </c>
      <c r="D139" s="6">
        <v>472.8</v>
      </c>
      <c r="E139" s="6">
        <v>127</v>
      </c>
      <c r="F139" s="9">
        <v>0.73</v>
      </c>
      <c r="H139" s="11"/>
      <c r="I139" s="11"/>
      <c r="J139" s="11"/>
    </row>
    <row r="140" spans="1:10" ht="15.75" x14ac:dyDescent="0.3">
      <c r="A140" s="12" t="str">
        <f>HYPERLINK("https://parts-sales.ru/parts/MAN/06012835218","06.01283-5218")</f>
        <v>06.01283-5218</v>
      </c>
      <c r="B140" s="12" t="str">
        <f>HYPERLINK("https://parts-sales.ru/parts/MAN/06012835218","Винт с 6-гранной головкой M10X35-8.8-MAN")</f>
        <v>Винт с 6-гранной головкой M10X35-8.8-MAN</v>
      </c>
      <c r="C140" s="3" t="s">
        <v>6</v>
      </c>
      <c r="D140" s="4">
        <v>414</v>
      </c>
      <c r="E140" s="4">
        <v>6</v>
      </c>
      <c r="F140" s="8">
        <v>0.99</v>
      </c>
      <c r="H140" s="11"/>
      <c r="I140" s="11"/>
      <c r="J140" s="11"/>
    </row>
    <row r="141" spans="1:10" ht="15.75" x14ac:dyDescent="0.3">
      <c r="A141" s="13" t="str">
        <f>HYPERLINK("https://parts-sales.ru/parts/MAN/06012835219","06.01283-5219")</f>
        <v>06.01283-5219</v>
      </c>
      <c r="B141" s="13" t="str">
        <f>HYPERLINK("https://parts-sales.ru/parts/MAN/06012835219","Винт с 6-гранной головкой M10X40-8.8-MAN")</f>
        <v>Винт с 6-гранной головкой M10X40-8.8-MAN</v>
      </c>
      <c r="C141" s="5" t="s">
        <v>6</v>
      </c>
      <c r="D141" s="6">
        <v>486</v>
      </c>
      <c r="E141" s="6">
        <v>149</v>
      </c>
      <c r="F141" s="9">
        <v>0.69</v>
      </c>
      <c r="H141" s="11"/>
      <c r="I141" s="11"/>
      <c r="J141" s="11"/>
    </row>
    <row r="142" spans="1:10" ht="15.75" x14ac:dyDescent="0.3">
      <c r="A142" s="12" t="str">
        <f>HYPERLINK("https://parts-sales.ru/parts/MAN/06012835220","06.01283-5220")</f>
        <v>06.01283-5220</v>
      </c>
      <c r="B142" s="12" t="str">
        <f>HYPERLINK("https://parts-sales.ru/parts/MAN/06012835220","Винт с 6-гранной головкой M10X45-8.8-MAN")</f>
        <v>Винт с 6-гранной головкой M10X45-8.8-MAN</v>
      </c>
      <c r="C142" s="3" t="s">
        <v>6</v>
      </c>
      <c r="D142" s="4">
        <v>429.6</v>
      </c>
      <c r="E142" s="4">
        <v>22</v>
      </c>
      <c r="F142" s="8">
        <v>0.95</v>
      </c>
      <c r="H142" s="11"/>
      <c r="I142" s="11"/>
      <c r="J142" s="11"/>
    </row>
    <row r="143" spans="1:10" ht="15.75" x14ac:dyDescent="0.3">
      <c r="A143" s="13" t="str">
        <f>HYPERLINK("https://parts-sales.ru/parts/MAN/06012835224","06.01283-5224")</f>
        <v>06.01283-5224</v>
      </c>
      <c r="B143" s="13" t="str">
        <f>HYPERLINK("https://parts-sales.ru/parts/MAN/06012835224","Винт с 6-гранной головкой M10X65-8.8-MAN")</f>
        <v>Винт с 6-гранной головкой M10X65-8.8-MAN</v>
      </c>
      <c r="C143" s="5" t="s">
        <v>6</v>
      </c>
      <c r="D143" s="6">
        <v>453.6</v>
      </c>
      <c r="E143" s="6">
        <v>103</v>
      </c>
      <c r="F143" s="9">
        <v>0.77</v>
      </c>
      <c r="H143" s="11"/>
      <c r="I143" s="11"/>
      <c r="J143" s="11"/>
    </row>
    <row r="144" spans="1:10" ht="15.75" x14ac:dyDescent="0.3">
      <c r="A144" s="12" t="str">
        <f>HYPERLINK("https://parts-sales.ru/parts/MAN/06012835239","06.01283-5239")</f>
        <v>06.01283-5239</v>
      </c>
      <c r="B144" s="12" t="str">
        <f>HYPERLINK("https://parts-sales.ru/parts/MAN/06012835239","Винт с 6-гранной головкой M10X14-8.8-MAN")</f>
        <v>Винт с 6-гранной головкой M10X14-8.8-MAN</v>
      </c>
      <c r="C144" s="3" t="s">
        <v>6</v>
      </c>
      <c r="D144" s="4">
        <v>339.6</v>
      </c>
      <c r="E144" s="4">
        <v>10</v>
      </c>
      <c r="F144" s="8">
        <v>0.97</v>
      </c>
      <c r="H144" s="11"/>
      <c r="I144" s="11"/>
      <c r="J144" s="11"/>
    </row>
    <row r="145" spans="1:10" ht="15.75" x14ac:dyDescent="0.3">
      <c r="A145" s="13" t="str">
        <f>HYPERLINK("https://parts-sales.ru/parts/MAN/06012835313","06.01283-5313")</f>
        <v>06.01283-5313</v>
      </c>
      <c r="B145" s="13" t="str">
        <f>HYPERLINK("https://parts-sales.ru/parts/MAN/06012835313","Винт с 6-гранной головкой M12X20-8.8-MAN")</f>
        <v>Винт с 6-гранной головкой M12X20-8.8-MAN</v>
      </c>
      <c r="C145" s="5" t="s">
        <v>6</v>
      </c>
      <c r="D145" s="6">
        <v>724.8</v>
      </c>
      <c r="E145" s="6">
        <v>136</v>
      </c>
      <c r="F145" s="9">
        <v>0.81</v>
      </c>
      <c r="H145" s="11"/>
      <c r="I145" s="11"/>
      <c r="J145" s="11"/>
    </row>
    <row r="146" spans="1:10" ht="15.75" x14ac:dyDescent="0.3">
      <c r="A146" s="12" t="str">
        <f>HYPERLINK("https://parts-sales.ru/parts/MAN/06012835317","06.01283-5317")</f>
        <v>06.01283-5317</v>
      </c>
      <c r="B146" s="12" t="str">
        <f>HYPERLINK("https://parts-sales.ru/parts/MAN/06012835317","Винт с 6-гранной головкой M12X30-8.8-MAN")</f>
        <v>Винт с 6-гранной головкой M12X30-8.8-MAN</v>
      </c>
      <c r="C146" s="3" t="s">
        <v>6</v>
      </c>
      <c r="D146" s="4">
        <v>651.6</v>
      </c>
      <c r="E146" s="4">
        <v>6</v>
      </c>
      <c r="F146" s="8">
        <v>0.99</v>
      </c>
      <c r="H146" s="11"/>
      <c r="I146" s="11"/>
      <c r="J146" s="11"/>
    </row>
    <row r="147" spans="1:10" ht="15.75" x14ac:dyDescent="0.3">
      <c r="A147" s="13" t="str">
        <f>HYPERLINK("https://parts-sales.ru/parts/MAN/06012845113","06.01284-5113")</f>
        <v>06.01284-5113</v>
      </c>
      <c r="B147" s="13" t="str">
        <f>HYPERLINK("https://parts-sales.ru/parts/MAN/06012845113","Винт с 6-гранной головкой M8X20-10.9-MAN")</f>
        <v>Винт с 6-гранной головкой M8X20-10.9-MAN</v>
      </c>
      <c r="C147" s="5" t="s">
        <v>6</v>
      </c>
      <c r="D147" s="6">
        <v>504</v>
      </c>
      <c r="E147" s="6">
        <v>153</v>
      </c>
      <c r="F147" s="9">
        <v>0.7</v>
      </c>
      <c r="H147" s="11"/>
      <c r="I147" s="11"/>
      <c r="J147" s="11"/>
    </row>
    <row r="148" spans="1:10" ht="15.75" x14ac:dyDescent="0.3">
      <c r="A148" s="12" t="str">
        <f>HYPERLINK("https://parts-sales.ru/parts/MAN/06012845115","06.01284-5115")</f>
        <v>06.01284-5115</v>
      </c>
      <c r="B148" s="12" t="str">
        <f>HYPERLINK("https://parts-sales.ru/parts/MAN/06012845115","Винт с 6-гранной головкой M8X25-10.9-MAN")</f>
        <v>Винт с 6-гранной головкой M8X25-10.9-MAN</v>
      </c>
      <c r="C148" s="3" t="s">
        <v>6</v>
      </c>
      <c r="D148" s="4">
        <v>618</v>
      </c>
      <c r="E148" s="4">
        <v>19</v>
      </c>
      <c r="F148" s="8">
        <v>0.97</v>
      </c>
      <c r="H148" s="11"/>
      <c r="I148" s="11"/>
      <c r="J148" s="11"/>
    </row>
    <row r="149" spans="1:10" ht="15.75" x14ac:dyDescent="0.3">
      <c r="A149" s="13" t="str">
        <f>HYPERLINK("https://parts-sales.ru/parts/MAN/06012845119","06.01284-5119")</f>
        <v>06.01284-5119</v>
      </c>
      <c r="B149" s="13" t="str">
        <f>HYPERLINK("https://parts-sales.ru/parts/MAN/06012845119","Винт с 6-гранной головкой M8X40-10.9-MAN")</f>
        <v>Винт с 6-гранной головкой M8X40-10.9-MAN</v>
      </c>
      <c r="C149" s="5" t="s">
        <v>6</v>
      </c>
      <c r="D149" s="6">
        <v>864</v>
      </c>
      <c r="E149" s="6">
        <v>187</v>
      </c>
      <c r="F149" s="9">
        <v>0.78</v>
      </c>
      <c r="H149" s="11"/>
      <c r="I149" s="11"/>
      <c r="J149" s="11"/>
    </row>
    <row r="150" spans="1:10" ht="15.75" x14ac:dyDescent="0.3">
      <c r="A150" s="12" t="str">
        <f>HYPERLINK("https://parts-sales.ru/parts/MAN/06012845123","06.01284-5123")</f>
        <v>06.01284-5123</v>
      </c>
      <c r="B150" s="12" t="str">
        <f>HYPERLINK("https://parts-sales.ru/parts/MAN/06012845123","Винт с 6-гранной головкой M8X60-10.9-MAN")</f>
        <v>Винт с 6-гранной головкой M8X60-10.9-MAN</v>
      </c>
      <c r="C150" s="3" t="s">
        <v>6</v>
      </c>
      <c r="D150" s="4">
        <v>1358.4</v>
      </c>
      <c r="E150" s="4">
        <v>171</v>
      </c>
      <c r="F150" s="8">
        <v>0.87</v>
      </c>
      <c r="H150" s="11"/>
      <c r="I150" s="11"/>
      <c r="J150" s="11"/>
    </row>
    <row r="151" spans="1:10" ht="15.75" x14ac:dyDescent="0.3">
      <c r="A151" s="13" t="str">
        <f>HYPERLINK("https://parts-sales.ru/parts/MAN/06012845131","06.01284-5131")</f>
        <v>06.01284-5131</v>
      </c>
      <c r="B151" s="13" t="str">
        <f>HYPERLINK("https://parts-sales.ru/parts/MAN/06012845131","Винт с 6-гранной головкой M8X100-10.9-MA")</f>
        <v>Винт с 6-гранной головкой M8X100-10.9-MA</v>
      </c>
      <c r="C151" s="5" t="s">
        <v>6</v>
      </c>
      <c r="D151" s="6">
        <v>2246.4</v>
      </c>
      <c r="E151" s="6">
        <v>261</v>
      </c>
      <c r="F151" s="9">
        <v>0.88</v>
      </c>
      <c r="H151" s="11"/>
      <c r="I151" s="11"/>
      <c r="J151" s="11"/>
    </row>
    <row r="152" spans="1:10" ht="15.75" x14ac:dyDescent="0.3">
      <c r="A152" s="12" t="str">
        <f>HYPERLINK("https://parts-sales.ru/parts/MAN/06012845215","06.01284-5215")</f>
        <v>06.01284-5215</v>
      </c>
      <c r="B152" s="12" t="str">
        <f>HYPERLINK("https://parts-sales.ru/parts/MAN/06012845215","Винт с 6-гранной головкой M10X25-10.9-MA")</f>
        <v>Винт с 6-гранной головкой M10X25-10.9-MA</v>
      </c>
      <c r="C152" s="3" t="s">
        <v>6</v>
      </c>
      <c r="D152" s="4">
        <v>651.6</v>
      </c>
      <c r="E152" s="4">
        <v>4</v>
      </c>
      <c r="F152" s="8">
        <v>0.99</v>
      </c>
      <c r="H152" s="11"/>
      <c r="I152" s="11"/>
      <c r="J152" s="11"/>
    </row>
    <row r="153" spans="1:10" ht="15.75" x14ac:dyDescent="0.3">
      <c r="A153" s="13" t="str">
        <f>HYPERLINK("https://parts-sales.ru/parts/MAN/06012845221","06.01284-5221")</f>
        <v>06.01284-5221</v>
      </c>
      <c r="B153" s="13" t="str">
        <f>HYPERLINK("https://parts-sales.ru/parts/MAN/06012845221","Винт с 6-гранной головкой M10X50-10.9-MA")</f>
        <v>Винт с 6-гранной головкой M10X50-10.9-MA</v>
      </c>
      <c r="C153" s="5" t="s">
        <v>6</v>
      </c>
      <c r="D153" s="6">
        <v>612</v>
      </c>
      <c r="E153" s="6">
        <v>162</v>
      </c>
      <c r="F153" s="9">
        <v>0.74</v>
      </c>
      <c r="H153" s="11"/>
      <c r="I153" s="11"/>
      <c r="J153" s="11"/>
    </row>
    <row r="154" spans="1:10" ht="15.75" x14ac:dyDescent="0.3">
      <c r="A154" s="12" t="str">
        <f>HYPERLINK("https://parts-sales.ru/parts/MAN/06012845318","06.01284-5318")</f>
        <v>06.01284-5318</v>
      </c>
      <c r="B154" s="12" t="str">
        <f>HYPERLINK("https://parts-sales.ru/parts/MAN/06012845318","Винт с 6-гранной головкой M12X35-10.9-MA")</f>
        <v>Винт с 6-гранной головкой M12X35-10.9-MA</v>
      </c>
      <c r="C154" s="3" t="s">
        <v>6</v>
      </c>
      <c r="D154" s="4">
        <v>1132.8</v>
      </c>
      <c r="E154" s="4">
        <v>372</v>
      </c>
      <c r="F154" s="8">
        <v>0.67</v>
      </c>
      <c r="H154" s="11"/>
      <c r="I154" s="11"/>
      <c r="J154" s="11"/>
    </row>
    <row r="155" spans="1:10" ht="15.75" x14ac:dyDescent="0.3">
      <c r="A155" s="13" t="str">
        <f>HYPERLINK("https://parts-sales.ru/parts/MAN/06012845319","06.01284-5319")</f>
        <v>06.01284-5319</v>
      </c>
      <c r="B155" s="13" t="str">
        <f>HYPERLINK("https://parts-sales.ru/parts/MAN/06012845319","Винт с 6-гранной головкой M12X40-10.9-MA")</f>
        <v>Винт с 6-гранной головкой M12X40-10.9-MA</v>
      </c>
      <c r="C155" s="5" t="s">
        <v>6</v>
      </c>
      <c r="D155" s="6">
        <v>1164</v>
      </c>
      <c r="E155" s="6">
        <v>255</v>
      </c>
      <c r="F155" s="9">
        <v>0.78</v>
      </c>
      <c r="H155" s="11"/>
      <c r="I155" s="11"/>
      <c r="J155" s="11"/>
    </row>
    <row r="156" spans="1:10" ht="15.75" x14ac:dyDescent="0.3">
      <c r="A156" s="12" t="str">
        <f>HYPERLINK("https://parts-sales.ru/parts/MAN/06012845321","06.01284-5321")</f>
        <v>06.01284-5321</v>
      </c>
      <c r="B156" s="12" t="str">
        <f>HYPERLINK("https://parts-sales.ru/parts/MAN/06012845321","Винт с 6-гранной головкой M12X50-10.9-MA")</f>
        <v>Винт с 6-гранной головкой M12X50-10.9-MA</v>
      </c>
      <c r="C156" s="3" t="s">
        <v>6</v>
      </c>
      <c r="D156" s="4">
        <v>1218</v>
      </c>
      <c r="E156" s="4">
        <v>382</v>
      </c>
      <c r="F156" s="8">
        <v>0.69</v>
      </c>
      <c r="H156" s="11"/>
      <c r="I156" s="11"/>
      <c r="J156" s="11"/>
    </row>
    <row r="157" spans="1:10" ht="15.75" x14ac:dyDescent="0.3">
      <c r="A157" s="13" t="str">
        <f>HYPERLINK("https://parts-sales.ru/parts/MAN/06012890274","06.01289-0274")</f>
        <v>06.01289-0274</v>
      </c>
      <c r="B157" s="13" t="str">
        <f>HYPERLINK("https://parts-sales.ru/parts/MAN/06012890274","Винт с 6-гранной головкой M8X12-8.8-C3J")</f>
        <v>Винт с 6-гранной головкой M8X12-8.8-C3J</v>
      </c>
      <c r="C157" s="5" t="s">
        <v>6</v>
      </c>
      <c r="D157" s="6">
        <v>338.4</v>
      </c>
      <c r="E157" s="6">
        <v>104</v>
      </c>
      <c r="F157" s="9">
        <v>0.69</v>
      </c>
      <c r="H157" s="11"/>
      <c r="I157" s="11"/>
      <c r="J157" s="11"/>
    </row>
    <row r="158" spans="1:10" ht="15.75" x14ac:dyDescent="0.3">
      <c r="A158" s="12" t="str">
        <f>HYPERLINK("https://parts-sales.ru/parts/MAN/06012890280","06.01289-0280")</f>
        <v>06.01289-0280</v>
      </c>
      <c r="B158" s="12" t="str">
        <f>HYPERLINK("https://parts-sales.ru/parts/MAN/06012890280","Винт с 6-гранной головкой M6X16-8.8-PB")</f>
        <v>Винт с 6-гранной головкой M6X16-8.8-PB</v>
      </c>
      <c r="C158" s="3" t="s">
        <v>6</v>
      </c>
      <c r="D158" s="4">
        <v>308.39999999999998</v>
      </c>
      <c r="E158" s="4">
        <v>1</v>
      </c>
      <c r="F158" s="8">
        <v>1</v>
      </c>
      <c r="H158" s="11"/>
      <c r="I158" s="11"/>
      <c r="J158" s="11"/>
    </row>
    <row r="159" spans="1:10" ht="15.75" x14ac:dyDescent="0.3">
      <c r="A159" s="13" t="str">
        <f>HYPERLINK("https://parts-sales.ru/parts/MAN/06012890281","06.01289-0281")</f>
        <v>06.01289-0281</v>
      </c>
      <c r="B159" s="13" t="str">
        <f>HYPERLINK("https://parts-sales.ru/parts/MAN/06012890281","Винт с 6-гранной головкой M8X16-8.8-PB")</f>
        <v>Винт с 6-гранной головкой M8X16-8.8-PB</v>
      </c>
      <c r="C159" s="5" t="s">
        <v>6</v>
      </c>
      <c r="D159" s="6">
        <v>504</v>
      </c>
      <c r="E159" s="6">
        <v>4</v>
      </c>
      <c r="F159" s="9">
        <v>0.99</v>
      </c>
      <c r="H159" s="11"/>
      <c r="I159" s="11"/>
      <c r="J159" s="11"/>
    </row>
    <row r="160" spans="1:10" ht="15.75" x14ac:dyDescent="0.3">
      <c r="A160" s="12" t="str">
        <f>HYPERLINK("https://parts-sales.ru/parts/MAN/06012890296","06.01289-0296")</f>
        <v>06.01289-0296</v>
      </c>
      <c r="B160" s="12" t="str">
        <f>HYPERLINK("https://parts-sales.ru/parts/MAN/06012890296","Винт с 6-гранной головкой M6X16SC-8.8-MA")</f>
        <v>Винт с 6-гранной головкой M6X16SC-8.8-MA</v>
      </c>
      <c r="C160" s="3" t="s">
        <v>6</v>
      </c>
      <c r="D160" s="4">
        <v>175.2</v>
      </c>
      <c r="E160" s="4">
        <v>4</v>
      </c>
      <c r="F160" s="8">
        <v>0.98</v>
      </c>
      <c r="H160" s="11"/>
      <c r="I160" s="11"/>
      <c r="J160" s="11"/>
    </row>
    <row r="161" spans="1:10" ht="15.75" x14ac:dyDescent="0.3">
      <c r="A161" s="13" t="str">
        <f>HYPERLINK("https://parts-sales.ru/parts/MAN/06012890310","06.01289-0310")</f>
        <v>06.01289-0310</v>
      </c>
      <c r="B161" s="13" t="str">
        <f>HYPERLINK("https://parts-sales.ru/parts/MAN/06012890310","Винт с 6-гранной головкой M8X20Z1-8.8-T4")</f>
        <v>Винт с 6-гранной головкой M8X20Z1-8.8-T4</v>
      </c>
      <c r="C161" s="5" t="s">
        <v>6</v>
      </c>
      <c r="D161" s="6">
        <v>622.79999999999995</v>
      </c>
      <c r="E161" s="6">
        <v>197</v>
      </c>
      <c r="F161" s="9">
        <v>0.68</v>
      </c>
      <c r="H161" s="11"/>
      <c r="I161" s="11"/>
      <c r="J161" s="11"/>
    </row>
    <row r="162" spans="1:10" ht="15.75" x14ac:dyDescent="0.3">
      <c r="A162" s="12" t="str">
        <f>HYPERLINK("https://parts-sales.ru/parts/MAN/06012890329","06.01289-0329")</f>
        <v>06.01289-0329</v>
      </c>
      <c r="B162" s="12" t="str">
        <f>HYPERLINK("https://parts-sales.ru/parts/MAN/06012890329","Винт с 6-гранной головкой M12X65-10.9-ZN")</f>
        <v>Винт с 6-гранной головкой M12X65-10.9-ZN</v>
      </c>
      <c r="C162" s="3" t="s">
        <v>6</v>
      </c>
      <c r="D162" s="4">
        <v>2846.4</v>
      </c>
      <c r="E162" s="4">
        <v>587</v>
      </c>
      <c r="F162" s="8">
        <v>0.79</v>
      </c>
      <c r="H162" s="11"/>
      <c r="I162" s="11"/>
      <c r="J162" s="11"/>
    </row>
    <row r="163" spans="1:10" ht="15.75" x14ac:dyDescent="0.3">
      <c r="A163" s="13" t="str">
        <f>HYPERLINK("https://parts-sales.ru/parts/MAN/06013033111","06.01303-3111")</f>
        <v>06.01303-3111</v>
      </c>
      <c r="B163" s="13" t="str">
        <f>HYPERLINK("https://parts-sales.ru/parts/MAN/06013033111","Винт с 6-гранной головкой M8X16SK-8.8-MA")</f>
        <v>Винт с 6-гранной головкой M8X16SK-8.8-MA</v>
      </c>
      <c r="C163" s="5" t="s">
        <v>6</v>
      </c>
      <c r="D163" s="6">
        <v>502.8</v>
      </c>
      <c r="E163" s="6">
        <v>63</v>
      </c>
      <c r="F163" s="9">
        <v>0.87</v>
      </c>
      <c r="H163" s="11"/>
      <c r="I163" s="11"/>
      <c r="J163" s="11"/>
    </row>
    <row r="164" spans="1:10" ht="15.75" x14ac:dyDescent="0.3">
      <c r="A164" s="12" t="str">
        <f>HYPERLINK("https://parts-sales.ru/parts/MAN/06013033113","06.01303-3113")</f>
        <v>06.01303-3113</v>
      </c>
      <c r="B164" s="12" t="str">
        <f>HYPERLINK("https://parts-sales.ru/parts/MAN/06013033113","Винт с 6-гранной головкой M8X20SK-8.8-MA")</f>
        <v>Винт с 6-гранной головкой M8X20SK-8.8-MA</v>
      </c>
      <c r="C164" s="3" t="s">
        <v>6</v>
      </c>
      <c r="D164" s="4">
        <v>282</v>
      </c>
      <c r="E164" s="4">
        <v>58</v>
      </c>
      <c r="F164" s="8">
        <v>0.79</v>
      </c>
      <c r="H164" s="11"/>
      <c r="I164" s="11"/>
      <c r="J164" s="11"/>
    </row>
    <row r="165" spans="1:10" ht="15.75" x14ac:dyDescent="0.3">
      <c r="A165" s="13" t="str">
        <f>HYPERLINK("https://parts-sales.ru/parts/MAN/06013201314","06.01320-1314")</f>
        <v>06.01320-1314</v>
      </c>
      <c r="B165" s="13" t="str">
        <f>HYPERLINK("https://parts-sales.ru/parts/MAN/06013201314","Винт с 6-гранной головкой M8X22-8.8-MAN1")</f>
        <v>Винт с 6-гранной головкой M8X22-8.8-MAN1</v>
      </c>
      <c r="C165" s="5" t="s">
        <v>6</v>
      </c>
      <c r="D165" s="6">
        <v>598.79999999999995</v>
      </c>
      <c r="E165" s="6">
        <v>159</v>
      </c>
      <c r="F165" s="9">
        <v>0.73</v>
      </c>
      <c r="H165" s="11"/>
      <c r="I165" s="11"/>
      <c r="J165" s="11"/>
    </row>
    <row r="166" spans="1:10" ht="15.75" x14ac:dyDescent="0.3">
      <c r="A166" s="12" t="str">
        <f>HYPERLINK("https://parts-sales.ru/parts/MAN/06013245212","06.01324-5212")</f>
        <v>06.01324-5212</v>
      </c>
      <c r="B166" s="12" t="str">
        <f>HYPERLINK("https://parts-sales.ru/parts/MAN/06013245212","Винт с 6-гранной головкой M8X18-GA-WARMF")</f>
        <v>Винт с 6-гранной головкой M8X18-GA-WARMF</v>
      </c>
      <c r="C166" s="3" t="s">
        <v>6</v>
      </c>
      <c r="D166" s="4">
        <v>496.8</v>
      </c>
      <c r="E166" s="4">
        <v>38</v>
      </c>
      <c r="F166" s="8">
        <v>0.92</v>
      </c>
      <c r="H166" s="11"/>
      <c r="I166" s="11"/>
      <c r="J166" s="11"/>
    </row>
    <row r="167" spans="1:10" ht="15.75" x14ac:dyDescent="0.3">
      <c r="A167" s="13" t="str">
        <f>HYPERLINK("https://parts-sales.ru/parts/MAN/06013251110","06.01325-1110")</f>
        <v>06.01325-1110</v>
      </c>
      <c r="B167" s="13" t="str">
        <f>HYPERLINK("https://parts-sales.ru/parts/MAN/06013251110","Винт с 6-гранной головкой M6X12-A4-70")</f>
        <v>Винт с 6-гранной головкой M6X12-A4-70</v>
      </c>
      <c r="C167" s="5" t="s">
        <v>6</v>
      </c>
      <c r="D167" s="6">
        <v>268.8</v>
      </c>
      <c r="E167" s="6">
        <v>49</v>
      </c>
      <c r="F167" s="9">
        <v>0.82</v>
      </c>
      <c r="H167" s="11"/>
      <c r="I167" s="11"/>
      <c r="J167" s="11"/>
    </row>
    <row r="168" spans="1:10" ht="15.75" x14ac:dyDescent="0.3">
      <c r="A168" s="12" t="str">
        <f>HYPERLINK("https://parts-sales.ru/parts/MAN/06013271111","06.01327-1111")</f>
        <v>06.01327-1111</v>
      </c>
      <c r="B168" s="12" t="str">
        <f>HYPERLINK("https://parts-sales.ru/parts/MAN/06013271111","Винт с 6-гранной головкой M6X16-A2-70")</f>
        <v>Винт с 6-гранной головкой M6X16-A2-70</v>
      </c>
      <c r="C168" s="3" t="s">
        <v>6</v>
      </c>
      <c r="D168" s="4">
        <v>290.39999999999998</v>
      </c>
      <c r="E168" s="4">
        <v>1</v>
      </c>
      <c r="F168" s="8">
        <v>1</v>
      </c>
      <c r="H168" s="11"/>
      <c r="I168" s="11"/>
      <c r="J168" s="11"/>
    </row>
    <row r="169" spans="1:10" ht="15.75" x14ac:dyDescent="0.3">
      <c r="A169" s="13" t="str">
        <f>HYPERLINK("https://parts-sales.ru/parts/MAN/06013290010","06.01329-0010")</f>
        <v>06.01329-0010</v>
      </c>
      <c r="B169" s="13" t="str">
        <f>HYPERLINK("https://parts-sales.ru/parts/MAN/06013290010","Винт с 6-гранной головкой M8X16-A4-80")</f>
        <v>Винт с 6-гранной головкой M8X16-A4-80</v>
      </c>
      <c r="C169" s="5" t="s">
        <v>6</v>
      </c>
      <c r="D169" s="6">
        <v>237.6</v>
      </c>
      <c r="E169" s="6">
        <v>30</v>
      </c>
      <c r="F169" s="9">
        <v>0.87</v>
      </c>
      <c r="H169" s="11"/>
      <c r="I169" s="11"/>
      <c r="J169" s="11"/>
    </row>
    <row r="170" spans="1:10" ht="15.75" x14ac:dyDescent="0.3">
      <c r="A170" s="12" t="str">
        <f>HYPERLINK("https://parts-sales.ru/parts/MAN/06013290018","06.01329-0018")</f>
        <v>06.01329-0018</v>
      </c>
      <c r="B170" s="12" t="str">
        <f>HYPERLINK("https://parts-sales.ru/parts/MAN/06013290018","Винт с 6-гранной головкой M10X14-8.8-MAN")</f>
        <v>Винт с 6-гранной головкой M10X14-8.8-MAN</v>
      </c>
      <c r="C170" s="3" t="s">
        <v>6</v>
      </c>
      <c r="D170" s="4">
        <v>577.20000000000005</v>
      </c>
      <c r="E170" s="4">
        <v>185</v>
      </c>
      <c r="F170" s="8">
        <v>0.68</v>
      </c>
      <c r="H170" s="11"/>
      <c r="I170" s="11"/>
      <c r="J170" s="11"/>
    </row>
    <row r="171" spans="1:10" ht="15.75" x14ac:dyDescent="0.3">
      <c r="A171" s="13" t="str">
        <f>HYPERLINK("https://parts-sales.ru/parts/MAN/06014710509","06.01471-0509")</f>
        <v>06.01471-0509</v>
      </c>
      <c r="B171" s="13" t="str">
        <f>HYPERLINK("https://parts-sales.ru/parts/MAN/06014710509","Винт с 6-гранной головкой M8X16Z1-8.8-MA")</f>
        <v>Винт с 6-гранной головкой M8X16Z1-8.8-MA</v>
      </c>
      <c r="C171" s="5" t="s">
        <v>6</v>
      </c>
      <c r="D171" s="6">
        <v>196.8</v>
      </c>
      <c r="E171" s="6">
        <v>4</v>
      </c>
      <c r="F171" s="9">
        <v>0.98</v>
      </c>
      <c r="H171" s="11"/>
      <c r="I171" s="11"/>
      <c r="J171" s="11"/>
    </row>
    <row r="172" spans="1:10" ht="15.75" x14ac:dyDescent="0.3">
      <c r="A172" s="12" t="str">
        <f>HYPERLINK("https://parts-sales.ru/parts/MAN/06014710510","06.01471-0510")</f>
        <v>06.01471-0510</v>
      </c>
      <c r="B172" s="12" t="str">
        <f>HYPERLINK("https://parts-sales.ru/parts/MAN/06014710510","Винт с 6-гранной головкой M8X18Z1-8.8-MA")</f>
        <v>Винт с 6-гранной головкой M8X18Z1-8.8-MA</v>
      </c>
      <c r="C172" s="3" t="s">
        <v>6</v>
      </c>
      <c r="D172" s="4">
        <v>322.8</v>
      </c>
      <c r="E172" s="4">
        <v>3</v>
      </c>
      <c r="F172" s="8">
        <v>0.99</v>
      </c>
      <c r="H172" s="11"/>
      <c r="I172" s="11"/>
      <c r="J172" s="11"/>
    </row>
    <row r="173" spans="1:10" ht="15.75" x14ac:dyDescent="0.3">
      <c r="A173" s="13" t="str">
        <f>HYPERLINK("https://parts-sales.ru/parts/MAN/06014710512","06.01471-0512")</f>
        <v>06.01471-0512</v>
      </c>
      <c r="B173" s="13" t="str">
        <f>HYPERLINK("https://parts-sales.ru/parts/MAN/06014710512","Винт с 6-гранной головкой M8X22Z1-8.8-MA")</f>
        <v>Винт с 6-гранной головкой M8X22Z1-8.8-MA</v>
      </c>
      <c r="C173" s="5" t="s">
        <v>6</v>
      </c>
      <c r="D173" s="6">
        <v>600</v>
      </c>
      <c r="E173" s="6">
        <v>128</v>
      </c>
      <c r="F173" s="9">
        <v>0.79</v>
      </c>
      <c r="H173" s="11"/>
      <c r="I173" s="11"/>
      <c r="J173" s="11"/>
    </row>
    <row r="174" spans="1:10" ht="15.75" x14ac:dyDescent="0.3">
      <c r="A174" s="12" t="str">
        <f>HYPERLINK("https://parts-sales.ru/parts/MAN/06014790005","06.01479-0005")</f>
        <v>06.01479-0005</v>
      </c>
      <c r="B174" s="12" t="str">
        <f>HYPERLINK("https://parts-sales.ru/parts/MAN/06014790005","Стопорный винт с 6-гран. гол. M10X20MK-Z")</f>
        <v>Стопорный винт с 6-гран. гол. M10X20MK-Z</v>
      </c>
      <c r="C174" s="3" t="s">
        <v>6</v>
      </c>
      <c r="D174" s="4">
        <v>943.2</v>
      </c>
      <c r="E174" s="4">
        <v>192</v>
      </c>
      <c r="F174" s="8">
        <v>0.8</v>
      </c>
      <c r="H174" s="11"/>
      <c r="I174" s="11"/>
      <c r="J174" s="11"/>
    </row>
    <row r="175" spans="1:10" ht="15.75" x14ac:dyDescent="0.3">
      <c r="A175" s="13" t="str">
        <f>HYPERLINK("https://parts-sales.ru/parts/MAN/06014790011","06.01479-0011")</f>
        <v>06.01479-0011</v>
      </c>
      <c r="B175" s="13" t="str">
        <f>HYPERLINK("https://parts-sales.ru/parts/MAN/06014790011","6-гранный установочный винт M10X70Z1-10.")</f>
        <v>6-гранный установочный винт M10X70Z1-10.</v>
      </c>
      <c r="C175" s="5" t="s">
        <v>6</v>
      </c>
      <c r="D175" s="6">
        <v>231.6</v>
      </c>
      <c r="E175" s="6">
        <v>55</v>
      </c>
      <c r="F175" s="9">
        <v>0.76</v>
      </c>
      <c r="H175" s="11"/>
      <c r="I175" s="11"/>
      <c r="J175" s="11"/>
    </row>
    <row r="176" spans="1:10" ht="15.75" x14ac:dyDescent="0.3">
      <c r="A176" s="12" t="str">
        <f>HYPERLINK("https://parts-sales.ru/parts/MAN/06014934722","06.01493-4722")</f>
        <v>06.01493-4722</v>
      </c>
      <c r="B176" s="12" t="str">
        <f>HYPERLINK("https://parts-sales.ru/parts/MAN/06014934722","6-гранный установочный винт M18X2X130-8.")</f>
        <v>6-гранный установочный винт M18X2X130-8.</v>
      </c>
      <c r="C176" s="3" t="s">
        <v>6</v>
      </c>
      <c r="D176" s="4">
        <v>1851.6</v>
      </c>
      <c r="E176" s="4">
        <v>324</v>
      </c>
      <c r="F176" s="8">
        <v>0.83</v>
      </c>
      <c r="H176" s="11"/>
      <c r="I176" s="11"/>
      <c r="J176" s="11"/>
    </row>
    <row r="177" spans="1:10" ht="15.75" x14ac:dyDescent="0.3">
      <c r="A177" s="13" t="str">
        <f>HYPERLINK("https://parts-sales.ru/parts/MAN/06014934731","06.01493-4731")</f>
        <v>06.01493-4731</v>
      </c>
      <c r="B177" s="13" t="str">
        <f>HYPERLINK("https://parts-sales.ru/parts/MAN/06014934731","6-гранный установочный винт M18X2X220-8.")</f>
        <v>6-гранный установочный винт M18X2X220-8.</v>
      </c>
      <c r="C177" s="5" t="s">
        <v>6</v>
      </c>
      <c r="D177" s="6">
        <v>5306.4</v>
      </c>
      <c r="E177" s="6">
        <v>1043</v>
      </c>
      <c r="F177" s="9">
        <v>0.8</v>
      </c>
      <c r="H177" s="11"/>
      <c r="I177" s="11"/>
      <c r="J177" s="11"/>
    </row>
    <row r="178" spans="1:10" ht="15.75" x14ac:dyDescent="0.3">
      <c r="A178" s="12" t="str">
        <f>HYPERLINK("https://parts-sales.ru/parts/MAN/06014934925","06.01493-4925")</f>
        <v>06.01493-4925</v>
      </c>
      <c r="B178" s="12" t="str">
        <f>HYPERLINK("https://parts-sales.ru/parts/MAN/06014934925","6-гранный установочный винт M20X2X160-8.")</f>
        <v>6-гранный установочный винт M20X2X160-8.</v>
      </c>
      <c r="C178" s="3" t="s">
        <v>6</v>
      </c>
      <c r="D178" s="4">
        <v>2002.8</v>
      </c>
      <c r="E178" s="4">
        <v>199</v>
      </c>
      <c r="F178" s="8">
        <v>0.9</v>
      </c>
      <c r="H178" s="11"/>
      <c r="I178" s="11"/>
      <c r="J178" s="11"/>
    </row>
    <row r="179" spans="1:10" ht="15.75" x14ac:dyDescent="0.3">
      <c r="A179" s="13" t="str">
        <f>HYPERLINK("https://parts-sales.ru/parts/MAN/06014934932","06.01493-4932")</f>
        <v>06.01493-4932</v>
      </c>
      <c r="B179" s="13" t="str">
        <f>HYPERLINK("https://parts-sales.ru/parts/MAN/06014934932","6-гранный установочный винт M20X2X230-8.")</f>
        <v>6-гранный установочный винт M20X2X230-8.</v>
      </c>
      <c r="C179" s="5" t="s">
        <v>6</v>
      </c>
      <c r="D179" s="6">
        <v>2422.8000000000002</v>
      </c>
      <c r="E179" s="6">
        <v>523</v>
      </c>
      <c r="F179" s="9">
        <v>0.78</v>
      </c>
      <c r="H179" s="11"/>
      <c r="I179" s="11"/>
      <c r="J179" s="11"/>
    </row>
    <row r="180" spans="1:10" ht="15.75" x14ac:dyDescent="0.3">
      <c r="A180" s="12" t="str">
        <f>HYPERLINK("https://parts-sales.ru/parts/MAN/06014934937","06.01493-4937")</f>
        <v>06.01493-4937</v>
      </c>
      <c r="B180" s="12" t="str">
        <f>HYPERLINK("https://parts-sales.ru/parts/MAN/06014934937","6-гранный установочный винт M20X2X280-8.")</f>
        <v>6-гранный установочный винт M20X2X280-8.</v>
      </c>
      <c r="C180" s="3" t="s">
        <v>6</v>
      </c>
      <c r="D180" s="4">
        <v>6523.2</v>
      </c>
      <c r="E180" s="4">
        <v>1203</v>
      </c>
      <c r="F180" s="8">
        <v>0.82</v>
      </c>
      <c r="H180" s="11"/>
      <c r="I180" s="11"/>
      <c r="J180" s="11"/>
    </row>
    <row r="181" spans="1:10" ht="15.75" x14ac:dyDescent="0.3">
      <c r="A181" s="13" t="str">
        <f>HYPERLINK("https://parts-sales.ru/parts/MAN/06014936312","06.01493-6312")</f>
        <v>06.01493-6312</v>
      </c>
      <c r="B181" s="13" t="str">
        <f>HYPERLINK("https://parts-sales.ru/parts/MAN/06014936312","6-гранный установочный винт M12X1,5X65-8")</f>
        <v>6-гранный установочный винт M12X1,5X65-8</v>
      </c>
      <c r="C181" s="5" t="s">
        <v>6</v>
      </c>
      <c r="D181" s="6">
        <v>496.8</v>
      </c>
      <c r="E181" s="6">
        <v>283</v>
      </c>
      <c r="F181" s="9">
        <v>0.43</v>
      </c>
      <c r="H181" s="11"/>
      <c r="I181" s="11"/>
      <c r="J181" s="11"/>
    </row>
    <row r="182" spans="1:10" ht="15.75" x14ac:dyDescent="0.3">
      <c r="A182" s="12" t="str">
        <f>HYPERLINK("https://parts-sales.ru/parts/MAN/06014936315","06.01493-6315")</f>
        <v>06.01493-6315</v>
      </c>
      <c r="B182" s="12" t="str">
        <f>HYPERLINK("https://parts-sales.ru/parts/MAN/06014936315","6-гранный установочный винт M12X1,5X80-8")</f>
        <v>6-гранный установочный винт M12X1,5X80-8</v>
      </c>
      <c r="C182" s="3" t="s">
        <v>6</v>
      </c>
      <c r="D182" s="4">
        <v>447.6</v>
      </c>
      <c r="E182" s="4">
        <v>136</v>
      </c>
      <c r="F182" s="8">
        <v>0.7</v>
      </c>
      <c r="H182" s="11"/>
      <c r="I182" s="11"/>
      <c r="J182" s="11"/>
    </row>
    <row r="183" spans="1:10" ht="15.75" x14ac:dyDescent="0.3">
      <c r="A183" s="13" t="str">
        <f>HYPERLINK("https://parts-sales.ru/parts/MAN/06014936316","06.01493-6316")</f>
        <v>06.01493-6316</v>
      </c>
      <c r="B183" s="13" t="str">
        <f>HYPERLINK("https://parts-sales.ru/parts/MAN/06014936316","6-гранный установочный винт M12X1,5X85-8")</f>
        <v>6-гранный установочный винт M12X1,5X85-8</v>
      </c>
      <c r="C183" s="5" t="s">
        <v>6</v>
      </c>
      <c r="D183" s="6">
        <v>525.6</v>
      </c>
      <c r="E183" s="6">
        <v>206</v>
      </c>
      <c r="F183" s="9">
        <v>0.61</v>
      </c>
      <c r="H183" s="11"/>
      <c r="I183" s="11"/>
      <c r="J183" s="11"/>
    </row>
    <row r="184" spans="1:10" ht="15.75" x14ac:dyDescent="0.3">
      <c r="A184" s="12" t="str">
        <f>HYPERLINK("https://parts-sales.ru/parts/MAN/06014936413","06.01493-6413")</f>
        <v>06.01493-6413</v>
      </c>
      <c r="B184" s="12" t="str">
        <f>HYPERLINK("https://parts-sales.ru/parts/MAN/06014936413","6-гранный установочный винт M14X1,5X70-8")</f>
        <v>6-гранный установочный винт M14X1,5X70-8</v>
      </c>
      <c r="C184" s="3" t="s">
        <v>6</v>
      </c>
      <c r="D184" s="4">
        <v>1052.4000000000001</v>
      </c>
      <c r="E184" s="4">
        <v>200</v>
      </c>
      <c r="F184" s="8">
        <v>0.81</v>
      </c>
      <c r="H184" s="11"/>
      <c r="I184" s="11"/>
      <c r="J184" s="11"/>
    </row>
    <row r="185" spans="1:10" ht="15.75" x14ac:dyDescent="0.3">
      <c r="A185" s="13" t="str">
        <f>HYPERLINK("https://parts-sales.ru/parts/MAN/06014936516","06.01493-6516")</f>
        <v>06.01493-6516</v>
      </c>
      <c r="B185" s="13" t="str">
        <f>HYPERLINK("https://parts-sales.ru/parts/MAN/06014936516","6-гранный установочный винт M16X1,5X85-8")</f>
        <v>6-гранный установочный винт M16X1,5X85-8</v>
      </c>
      <c r="C185" s="5" t="s">
        <v>6</v>
      </c>
      <c r="D185" s="6">
        <v>1363.2</v>
      </c>
      <c r="E185" s="6">
        <v>171</v>
      </c>
      <c r="F185" s="9">
        <v>0.87</v>
      </c>
      <c r="H185" s="11"/>
      <c r="I185" s="11"/>
      <c r="J185" s="11"/>
    </row>
    <row r="186" spans="1:10" ht="15.75" x14ac:dyDescent="0.3">
      <c r="A186" s="12" t="str">
        <f>HYPERLINK("https://parts-sales.ru/parts/MAN/06014936718","06.01493-6718")</f>
        <v>06.01493-6718</v>
      </c>
      <c r="B186" s="12" t="str">
        <f>HYPERLINK("https://parts-sales.ru/parts/MAN/06014936718","6-гранный установочный винт M18X2X95-8.8")</f>
        <v>6-гранный установочный винт M18X2X95-8.8</v>
      </c>
      <c r="C186" s="3" t="s">
        <v>6</v>
      </c>
      <c r="D186" s="4">
        <v>1848</v>
      </c>
      <c r="E186" s="4">
        <v>381</v>
      </c>
      <c r="F186" s="8">
        <v>0.79</v>
      </c>
      <c r="H186" s="11"/>
      <c r="I186" s="11"/>
      <c r="J186" s="11"/>
    </row>
    <row r="187" spans="1:10" ht="15.75" x14ac:dyDescent="0.3">
      <c r="A187" s="13" t="str">
        <f>HYPERLINK("https://parts-sales.ru/parts/MAN/06014944612","06.01494-4612")</f>
        <v>06.01494-4612</v>
      </c>
      <c r="B187" s="13" t="str">
        <f>HYPERLINK("https://parts-sales.ru/parts/MAN/06014944612","6-гранный установочный винт M18X1,5X65-1")</f>
        <v>6-гранный установочный винт M18X1,5X65-1</v>
      </c>
      <c r="C187" s="5" t="s">
        <v>6</v>
      </c>
      <c r="D187" s="6">
        <v>1058.4000000000001</v>
      </c>
      <c r="E187" s="6">
        <v>343</v>
      </c>
      <c r="F187" s="9">
        <v>0.68</v>
      </c>
      <c r="H187" s="11"/>
      <c r="I187" s="11"/>
      <c r="J187" s="11"/>
    </row>
    <row r="188" spans="1:10" ht="15.75" x14ac:dyDescent="0.3">
      <c r="A188" s="12" t="str">
        <f>HYPERLINK("https://parts-sales.ru/parts/MAN/06014944734","06.01494-4734")</f>
        <v>06.01494-4734</v>
      </c>
      <c r="B188" s="12" t="str">
        <f>HYPERLINK("https://parts-sales.ru/parts/MAN/06014944734","6-гранный установочный винт M18X2X250-10")</f>
        <v>6-гранный установочный винт M18X2X250-10</v>
      </c>
      <c r="C188" s="3" t="s">
        <v>6</v>
      </c>
      <c r="D188" s="4">
        <v>2316</v>
      </c>
      <c r="E188" s="4">
        <v>328</v>
      </c>
      <c r="F188" s="8">
        <v>0.86</v>
      </c>
      <c r="H188" s="11"/>
      <c r="I188" s="11"/>
      <c r="J188" s="11"/>
    </row>
    <row r="189" spans="1:10" ht="15.75" x14ac:dyDescent="0.3">
      <c r="A189" s="13" t="str">
        <f>HYPERLINK("https://parts-sales.ru/parts/MAN/06014944933","06.01494-4933")</f>
        <v>06.01494-4933</v>
      </c>
      <c r="B189" s="13" t="str">
        <f>HYPERLINK("https://parts-sales.ru/parts/MAN/06014944933","6-гранный установочный винт M20X2X240-10")</f>
        <v>6-гранный установочный винт M20X2X240-10</v>
      </c>
      <c r="C189" s="5" t="s">
        <v>6</v>
      </c>
      <c r="D189" s="6">
        <v>1014</v>
      </c>
      <c r="E189" s="6">
        <v>462</v>
      </c>
      <c r="F189" s="9">
        <v>0.54</v>
      </c>
      <c r="H189" s="11"/>
      <c r="I189" s="11"/>
      <c r="J189" s="11"/>
    </row>
    <row r="190" spans="1:10" ht="15.75" x14ac:dyDescent="0.3">
      <c r="A190" s="12" t="str">
        <f>HYPERLINK("https://parts-sales.ru/parts/MAN/06014944935","06.01494-4935")</f>
        <v>06.01494-4935</v>
      </c>
      <c r="B190" s="12" t="str">
        <f>HYPERLINK("https://parts-sales.ru/parts/MAN/06014944935","6-гранный установочный винт M20X2X260-10")</f>
        <v>6-гранный установочный винт M20X2X260-10</v>
      </c>
      <c r="C190" s="3" t="s">
        <v>6</v>
      </c>
      <c r="D190" s="4">
        <v>788.4</v>
      </c>
      <c r="E190" s="4">
        <v>360</v>
      </c>
      <c r="F190" s="8">
        <v>0.54</v>
      </c>
      <c r="H190" s="11"/>
      <c r="I190" s="11"/>
      <c r="J190" s="11"/>
    </row>
    <row r="191" spans="1:10" ht="15.75" x14ac:dyDescent="0.3">
      <c r="A191" s="13" t="str">
        <f>HYPERLINK("https://parts-sales.ru/parts/MAN/06014946413","06.01494-6413")</f>
        <v>06.01494-6413</v>
      </c>
      <c r="B191" s="13" t="str">
        <f>HYPERLINK("https://parts-sales.ru/parts/MAN/06014946413","6-гранный установочный винт M14X1,5X70-1")</f>
        <v>6-гранный установочный винт M14X1,5X70-1</v>
      </c>
      <c r="C191" s="5" t="s">
        <v>6</v>
      </c>
      <c r="D191" s="6">
        <v>1092</v>
      </c>
      <c r="E191" s="6">
        <v>279</v>
      </c>
      <c r="F191" s="9">
        <v>0.74</v>
      </c>
      <c r="H191" s="11"/>
      <c r="I191" s="11"/>
      <c r="J191" s="11"/>
    </row>
    <row r="192" spans="1:10" ht="15.75" x14ac:dyDescent="0.3">
      <c r="A192" s="12" t="str">
        <f>HYPERLINK("https://parts-sales.ru/parts/MAN/06014946414","06.01494-6414")</f>
        <v>06.01494-6414</v>
      </c>
      <c r="B192" s="12" t="str">
        <f>HYPERLINK("https://parts-sales.ru/parts/MAN/06014946414","6-гранный установочный винт M14X1,5X75-1")</f>
        <v>6-гранный установочный винт M14X1,5X75-1</v>
      </c>
      <c r="C192" s="3" t="s">
        <v>6</v>
      </c>
      <c r="D192" s="4">
        <v>1106.4000000000001</v>
      </c>
      <c r="E192" s="4">
        <v>478</v>
      </c>
      <c r="F192" s="8">
        <v>0.56999999999999995</v>
      </c>
      <c r="H192" s="11"/>
      <c r="I192" s="11"/>
      <c r="J192" s="11"/>
    </row>
    <row r="193" spans="1:10" ht="15.75" x14ac:dyDescent="0.3">
      <c r="A193" s="13" t="str">
        <f>HYPERLINK("https://parts-sales.ru/parts/MAN/06014946415","06.01494-6415")</f>
        <v>06.01494-6415</v>
      </c>
      <c r="B193" s="13" t="str">
        <f>HYPERLINK("https://parts-sales.ru/parts/MAN/06014946415","6-гранный установочный винт M14X1,5X80-1")</f>
        <v>6-гранный установочный винт M14X1,5X80-1</v>
      </c>
      <c r="C193" s="5" t="s">
        <v>6</v>
      </c>
      <c r="D193" s="6">
        <v>1291.2</v>
      </c>
      <c r="E193" s="6">
        <v>271</v>
      </c>
      <c r="F193" s="9">
        <v>0.79</v>
      </c>
      <c r="H193" s="11"/>
      <c r="I193" s="11"/>
      <c r="J193" s="11"/>
    </row>
    <row r="194" spans="1:10" ht="15.75" x14ac:dyDescent="0.3">
      <c r="A194" s="12" t="str">
        <f>HYPERLINK("https://parts-sales.ru/parts/MAN/06014946424","06.01494-6424")</f>
        <v>06.01494-6424</v>
      </c>
      <c r="B194" s="12" t="str">
        <f>HYPERLINK("https://parts-sales.ru/parts/MAN/06014946424","6-гранный установочный винт M14X1,5X150-")</f>
        <v>6-гранный установочный винт M14X1,5X150-</v>
      </c>
      <c r="C194" s="3" t="s">
        <v>6</v>
      </c>
      <c r="D194" s="4">
        <v>1485.6</v>
      </c>
      <c r="E194" s="4">
        <v>482</v>
      </c>
      <c r="F194" s="8">
        <v>0.68</v>
      </c>
      <c r="H194" s="11"/>
      <c r="I194" s="11"/>
      <c r="J194" s="11"/>
    </row>
    <row r="195" spans="1:10" ht="15.75" x14ac:dyDescent="0.3">
      <c r="A195" s="13" t="str">
        <f>HYPERLINK("https://parts-sales.ru/parts/MAN/06014946521","06.01494-6521")</f>
        <v>06.01494-6521</v>
      </c>
      <c r="B195" s="13" t="str">
        <f>HYPERLINK("https://parts-sales.ru/parts/MAN/06014946521","6-гранный установочный винт M16X1,5X120-")</f>
        <v>6-гранный установочный винт M16X1,5X120-</v>
      </c>
      <c r="C195" s="5" t="s">
        <v>6</v>
      </c>
      <c r="D195" s="6">
        <v>1164</v>
      </c>
      <c r="E195" s="6">
        <v>229</v>
      </c>
      <c r="F195" s="9">
        <v>0.8</v>
      </c>
      <c r="H195" s="11"/>
      <c r="I195" s="11"/>
      <c r="J195" s="11"/>
    </row>
    <row r="196" spans="1:10" ht="15.75" x14ac:dyDescent="0.3">
      <c r="A196" s="12" t="str">
        <f>HYPERLINK("https://parts-sales.ru/parts/MAN/06014946526","06.01494-6526")</f>
        <v>06.01494-6526</v>
      </c>
      <c r="B196" s="12" t="str">
        <f>HYPERLINK("https://parts-sales.ru/parts/MAN/06014946526","6-гранный установочный винт M16X1,5X170-")</f>
        <v>6-гранный установочный винт M16X1,5X170-</v>
      </c>
      <c r="C196" s="3" t="s">
        <v>6</v>
      </c>
      <c r="D196" s="4">
        <v>1836</v>
      </c>
      <c r="E196" s="4">
        <v>142</v>
      </c>
      <c r="F196" s="8">
        <v>0.92</v>
      </c>
      <c r="H196" s="11"/>
      <c r="I196" s="11"/>
      <c r="J196" s="11"/>
    </row>
    <row r="197" spans="1:10" ht="15.75" x14ac:dyDescent="0.3">
      <c r="A197" s="13" t="str">
        <f>HYPERLINK("https://parts-sales.ru/parts/MAN/06014946529","06.01494-6529")</f>
        <v>06.01494-6529</v>
      </c>
      <c r="B197" s="13" t="str">
        <f>HYPERLINK("https://parts-sales.ru/parts/MAN/06014946529","6-гранный установочный винт M16X1,5X200-")</f>
        <v>6-гранный установочный винт M16X1,5X200-</v>
      </c>
      <c r="C197" s="5" t="s">
        <v>6</v>
      </c>
      <c r="D197" s="6">
        <v>1884</v>
      </c>
      <c r="E197" s="6">
        <v>685</v>
      </c>
      <c r="F197" s="9">
        <v>0.64</v>
      </c>
      <c r="H197" s="11"/>
      <c r="I197" s="11"/>
      <c r="J197" s="11"/>
    </row>
    <row r="198" spans="1:10" ht="15.75" x14ac:dyDescent="0.3">
      <c r="A198" s="12" t="str">
        <f>HYPERLINK("https://parts-sales.ru/parts/MAN/06014946532","06.01494-6532")</f>
        <v>06.01494-6532</v>
      </c>
      <c r="B198" s="12" t="str">
        <f>HYPERLINK("https://parts-sales.ru/parts/MAN/06014946532","6-гранный установочный винт M16X1,5X230-")</f>
        <v>6-гранный установочный винт M16X1,5X230-</v>
      </c>
      <c r="C198" s="3" t="s">
        <v>6</v>
      </c>
      <c r="D198" s="4">
        <v>1994.4</v>
      </c>
      <c r="E198" s="4">
        <v>103</v>
      </c>
      <c r="F198" s="8">
        <v>0.95</v>
      </c>
      <c r="H198" s="11"/>
      <c r="I198" s="11"/>
      <c r="J198" s="11"/>
    </row>
    <row r="199" spans="1:10" ht="15.75" x14ac:dyDescent="0.3">
      <c r="A199" s="13" t="str">
        <f>HYPERLINK("https://parts-sales.ru/parts/MAN/06014946719","06.01494-6719")</f>
        <v>06.01494-6719</v>
      </c>
      <c r="B199" s="13" t="str">
        <f>HYPERLINK("https://parts-sales.ru/parts/MAN/06014946719","6-гранный установочный винт M18X2X100-10")</f>
        <v>6-гранный установочный винт M18X2X100-10</v>
      </c>
      <c r="C199" s="5" t="s">
        <v>6</v>
      </c>
      <c r="D199" s="6">
        <v>1863.6</v>
      </c>
      <c r="E199" s="6">
        <v>517</v>
      </c>
      <c r="F199" s="9">
        <v>0.72</v>
      </c>
      <c r="H199" s="11"/>
      <c r="I199" s="11"/>
      <c r="J199" s="11"/>
    </row>
    <row r="200" spans="1:10" ht="15.75" x14ac:dyDescent="0.3">
      <c r="A200" s="12" t="str">
        <f>HYPERLINK("https://parts-sales.ru/parts/MAN/06014946720","06.01494-6720")</f>
        <v>06.01494-6720</v>
      </c>
      <c r="B200" s="12" t="str">
        <f>HYPERLINK("https://parts-sales.ru/parts/MAN/06014946720","6-гранный установочный винт M18X2X110-10")</f>
        <v>6-гранный установочный винт M18X2X110-10</v>
      </c>
      <c r="C200" s="3" t="s">
        <v>6</v>
      </c>
      <c r="D200" s="4">
        <v>2347.1999999999998</v>
      </c>
      <c r="E200" s="4">
        <v>735</v>
      </c>
      <c r="F200" s="8">
        <v>0.69</v>
      </c>
      <c r="H200" s="11"/>
      <c r="I200" s="11"/>
      <c r="J200" s="11"/>
    </row>
    <row r="201" spans="1:10" ht="15.75" x14ac:dyDescent="0.3">
      <c r="A201" s="13" t="str">
        <f>HYPERLINK("https://parts-sales.ru/parts/MAN/06014946724","06.01494-6724")</f>
        <v>06.01494-6724</v>
      </c>
      <c r="B201" s="13" t="str">
        <f>HYPERLINK("https://parts-sales.ru/parts/MAN/06014946724","6-гранный установочный винт M18X2X150-10")</f>
        <v>6-гранный установочный винт M18X2X150-10</v>
      </c>
      <c r="C201" s="5" t="s">
        <v>6</v>
      </c>
      <c r="D201" s="6">
        <v>2068.8000000000002</v>
      </c>
      <c r="E201" s="6">
        <v>322</v>
      </c>
      <c r="F201" s="9">
        <v>0.84</v>
      </c>
      <c r="H201" s="11"/>
      <c r="I201" s="11"/>
      <c r="J201" s="11"/>
    </row>
    <row r="202" spans="1:10" ht="15.75" x14ac:dyDescent="0.3">
      <c r="A202" s="12" t="str">
        <f>HYPERLINK("https://parts-sales.ru/parts/MAN/06014946780","06.01494-6780")</f>
        <v>06.01494-6780</v>
      </c>
      <c r="B202" s="12" t="str">
        <f>HYPERLINK("https://parts-sales.ru/parts/MAN/06014946780","6-гранный установочный винт M18X2X80-10.")</f>
        <v>6-гранный установочный винт M18X2X80-10.</v>
      </c>
      <c r="C202" s="3" t="s">
        <v>6</v>
      </c>
      <c r="D202" s="4">
        <v>1580.4</v>
      </c>
      <c r="E202" s="4">
        <v>401</v>
      </c>
      <c r="F202" s="8">
        <v>0.75</v>
      </c>
      <c r="H202" s="11"/>
      <c r="I202" s="11"/>
      <c r="J202" s="11"/>
    </row>
    <row r="203" spans="1:10" ht="15.75" x14ac:dyDescent="0.3">
      <c r="A203" s="13" t="str">
        <f>HYPERLINK("https://parts-sales.ru/parts/MAN/06014946814","06.01494-6814")</f>
        <v>06.01494-6814</v>
      </c>
      <c r="B203" s="13" t="str">
        <f>HYPERLINK("https://parts-sales.ru/parts/MAN/06014946814","6-гранный установочный винт M20X1,5X75-1")</f>
        <v>6-гранный установочный винт M20X1,5X75-1</v>
      </c>
      <c r="C203" s="5" t="s">
        <v>6</v>
      </c>
      <c r="D203" s="6">
        <v>1933.2</v>
      </c>
      <c r="E203" s="6">
        <v>135</v>
      </c>
      <c r="F203" s="9">
        <v>0.93</v>
      </c>
      <c r="H203" s="11"/>
      <c r="I203" s="11"/>
      <c r="J203" s="11"/>
    </row>
    <row r="204" spans="1:10" ht="15.75" x14ac:dyDescent="0.3">
      <c r="A204" s="12" t="str">
        <f>HYPERLINK("https://parts-sales.ru/parts/MAN/06014947331","06.01494-7331")</f>
        <v>06.01494-7331</v>
      </c>
      <c r="B204" s="12" t="str">
        <f>HYPERLINK("https://parts-sales.ru/parts/MAN/06014947331","6-гранный установочный винт M24X2X220-10")</f>
        <v>6-гранный установочный винт M24X2X220-10</v>
      </c>
      <c r="C204" s="3" t="s">
        <v>6</v>
      </c>
      <c r="D204" s="4">
        <v>4206</v>
      </c>
      <c r="E204" s="4">
        <v>277</v>
      </c>
      <c r="F204" s="8">
        <v>0.93</v>
      </c>
      <c r="H204" s="11"/>
      <c r="I204" s="11"/>
      <c r="J204" s="11"/>
    </row>
    <row r="205" spans="1:10" ht="15.75" x14ac:dyDescent="0.3">
      <c r="A205" s="13" t="str">
        <f>HYPERLINK("https://parts-sales.ru/parts/MAN/06014990015","06.01499-0015")</f>
        <v>06.01499-0015</v>
      </c>
      <c r="B205" s="13" t="str">
        <f>HYPERLINK("https://parts-sales.ru/parts/MAN/06014990015","6-гранный установочный винт M18X2X115-8.")</f>
        <v>6-гранный установочный винт M18X2X115-8.</v>
      </c>
      <c r="C205" s="5" t="s">
        <v>6</v>
      </c>
      <c r="D205" s="6">
        <v>1893.6</v>
      </c>
      <c r="E205" s="6">
        <v>181</v>
      </c>
      <c r="F205" s="9">
        <v>0.9</v>
      </c>
      <c r="H205" s="11"/>
      <c r="I205" s="11"/>
      <c r="J205" s="11"/>
    </row>
    <row r="206" spans="1:10" ht="15.75" x14ac:dyDescent="0.3">
      <c r="A206" s="12" t="str">
        <f>HYPERLINK("https://parts-sales.ru/parts/MAN/06014990018","06.01499-0018")</f>
        <v>06.01499-0018</v>
      </c>
      <c r="B206" s="12" t="str">
        <f>HYPERLINK("https://parts-sales.ru/parts/MAN/06014990018","6-гранный установочный винт M18X2X175-8.")</f>
        <v>6-гранный установочный винт M18X2X175-8.</v>
      </c>
      <c r="C206" s="3" t="s">
        <v>6</v>
      </c>
      <c r="D206" s="4">
        <v>2193.6</v>
      </c>
      <c r="E206" s="4">
        <v>440</v>
      </c>
      <c r="F206" s="8">
        <v>0.8</v>
      </c>
      <c r="H206" s="11"/>
      <c r="I206" s="11"/>
      <c r="J206" s="11"/>
    </row>
    <row r="207" spans="1:10" ht="15.75" x14ac:dyDescent="0.3">
      <c r="A207" s="13" t="str">
        <f>HYPERLINK("https://parts-sales.ru/parts/MAN/06014990301","06.01499-0301")</f>
        <v>06.01499-0301</v>
      </c>
      <c r="B207" s="13" t="str">
        <f>HYPERLINK("https://parts-sales.ru/parts/MAN/06014990301","6-гранный установочный винт M12X1,5X145-")</f>
        <v>6-гранный установочный винт M12X1,5X145-</v>
      </c>
      <c r="C207" s="5" t="s">
        <v>6</v>
      </c>
      <c r="D207" s="6">
        <v>510</v>
      </c>
      <c r="E207" s="6">
        <v>161</v>
      </c>
      <c r="F207" s="9">
        <v>0.68</v>
      </c>
      <c r="H207" s="11"/>
      <c r="I207" s="11"/>
      <c r="J207" s="11"/>
    </row>
    <row r="208" spans="1:10" ht="15.75" x14ac:dyDescent="0.3">
      <c r="A208" s="12" t="str">
        <f>HYPERLINK("https://parts-sales.ru/parts/MAN/06017336309","06.01733-6309")</f>
        <v>06.01733-6309</v>
      </c>
      <c r="B208" s="12" t="str">
        <f>HYPERLINK("https://parts-sales.ru/parts/MAN/06017336309","Винт с 6-гранной головкой M12X1,5X25-8.8")</f>
        <v>Винт с 6-гранной головкой M12X1,5X25-8.8</v>
      </c>
      <c r="C208" s="3" t="s">
        <v>6</v>
      </c>
      <c r="D208" s="4">
        <v>1188</v>
      </c>
      <c r="E208" s="4">
        <v>108</v>
      </c>
      <c r="F208" s="8">
        <v>0.91</v>
      </c>
      <c r="H208" s="11"/>
      <c r="I208" s="11"/>
      <c r="J208" s="11"/>
    </row>
    <row r="209" spans="1:10" ht="15.75" x14ac:dyDescent="0.3">
      <c r="A209" s="13" t="str">
        <f>HYPERLINK("https://parts-sales.ru/parts/MAN/06017336311","06.01733-6311")</f>
        <v>06.01733-6311</v>
      </c>
      <c r="B209" s="13" t="str">
        <f>HYPERLINK("https://parts-sales.ru/parts/MAN/06017336311","Винт с 6-гранной головкой M12X1,5X30-8.8")</f>
        <v>Винт с 6-гранной головкой M12X1,5X30-8.8</v>
      </c>
      <c r="C209" s="5" t="s">
        <v>6</v>
      </c>
      <c r="D209" s="6">
        <v>1240.8</v>
      </c>
      <c r="E209" s="6">
        <v>373</v>
      </c>
      <c r="F209" s="9">
        <v>0.7</v>
      </c>
      <c r="H209" s="11"/>
      <c r="I209" s="11"/>
      <c r="J209" s="11"/>
    </row>
    <row r="210" spans="1:10" ht="15.75" x14ac:dyDescent="0.3">
      <c r="A210" s="12" t="str">
        <f>HYPERLINK("https://parts-sales.ru/parts/MAN/06017336411","06.01733-6411")</f>
        <v>06.01733-6411</v>
      </c>
      <c r="B210" s="12" t="str">
        <f>HYPERLINK("https://parts-sales.ru/parts/MAN/06017336411","Винт с 6-гранной головкой M14X1,5X30-8.8")</f>
        <v>Винт с 6-гранной головкой M14X1,5X30-8.8</v>
      </c>
      <c r="C210" s="3" t="s">
        <v>6</v>
      </c>
      <c r="D210" s="4">
        <v>638.4</v>
      </c>
      <c r="E210" s="4">
        <v>150</v>
      </c>
      <c r="F210" s="8">
        <v>0.77</v>
      </c>
      <c r="H210" s="11"/>
      <c r="I210" s="11"/>
      <c r="J210" s="11"/>
    </row>
    <row r="211" spans="1:10" ht="15.75" x14ac:dyDescent="0.3">
      <c r="A211" s="13" t="str">
        <f>HYPERLINK("https://parts-sales.ru/parts/MAN/06017336516","06.01733-6516")</f>
        <v>06.01733-6516</v>
      </c>
      <c r="B211" s="13" t="str">
        <f>HYPERLINK("https://parts-sales.ru/parts/MAN/06017336516","Винт с 6-гранной головкой M16X1,5X55-8.8")</f>
        <v>Винт с 6-гранной головкой M16X1,5X55-8.8</v>
      </c>
      <c r="C211" s="5" t="s">
        <v>6</v>
      </c>
      <c r="D211" s="6">
        <v>2086.8000000000002</v>
      </c>
      <c r="E211" s="6">
        <v>369</v>
      </c>
      <c r="F211" s="9">
        <v>0.82</v>
      </c>
      <c r="H211" s="11"/>
      <c r="I211" s="11"/>
      <c r="J211" s="11"/>
    </row>
    <row r="212" spans="1:10" ht="15.75" x14ac:dyDescent="0.3">
      <c r="A212" s="12" t="str">
        <f>HYPERLINK("https://parts-sales.ru/parts/MAN/06017344320","06.01734-4320")</f>
        <v>06.01734-4320</v>
      </c>
      <c r="B212" s="12" t="str">
        <f>HYPERLINK("https://parts-sales.ru/parts/MAN/06017344320","Винт с 6-гранной головкой M12X1,5X75-10.")</f>
        <v>Винт с 6-гранной головкой M12X1,5X75-10.</v>
      </c>
      <c r="C212" s="3" t="s">
        <v>6</v>
      </c>
      <c r="D212" s="4">
        <v>3207.6</v>
      </c>
      <c r="E212" s="4">
        <v>188</v>
      </c>
      <c r="F212" s="8">
        <v>0.94</v>
      </c>
      <c r="H212" s="11"/>
      <c r="I212" s="11"/>
      <c r="J212" s="11"/>
    </row>
    <row r="213" spans="1:10" ht="15.75" x14ac:dyDescent="0.3">
      <c r="A213" s="13" t="str">
        <f>HYPERLINK("https://parts-sales.ru/parts/MAN/06017346818","06.01734-6818")</f>
        <v>06.01734-6818</v>
      </c>
      <c r="B213" s="13" t="str">
        <f>HYPERLINK("https://parts-sales.ru/parts/MAN/06017346818","Винт с 6-гранной головкой M20X1,5X65-10.")</f>
        <v>Винт с 6-гранной головкой M20X1,5X65-10.</v>
      </c>
      <c r="C213" s="5" t="s">
        <v>6</v>
      </c>
      <c r="D213" s="6">
        <v>107.87</v>
      </c>
      <c r="E213" s="6">
        <v>65</v>
      </c>
      <c r="F213" s="9">
        <v>0.4</v>
      </c>
      <c r="H213" s="11"/>
      <c r="I213" s="11"/>
      <c r="J213" s="11"/>
    </row>
    <row r="214" spans="1:10" ht="15.75" x14ac:dyDescent="0.3">
      <c r="A214" s="12" t="str">
        <f>HYPERLINK("https://parts-sales.ru/parts/MAN/06017346819","06.01734-6819")</f>
        <v>06.01734-6819</v>
      </c>
      <c r="B214" s="12" t="str">
        <f>HYPERLINK("https://parts-sales.ru/parts/MAN/06017346819","Винт с 6-гранной головкой M20X1,5X70-10.")</f>
        <v>Винт с 6-гранной головкой M20X1,5X70-10.</v>
      </c>
      <c r="C214" s="3" t="s">
        <v>6</v>
      </c>
      <c r="D214" s="4">
        <v>4911.6000000000004</v>
      </c>
      <c r="E214" s="4">
        <v>1320</v>
      </c>
      <c r="F214" s="8">
        <v>0.73</v>
      </c>
      <c r="H214" s="11"/>
      <c r="I214" s="11"/>
      <c r="J214" s="11"/>
    </row>
    <row r="215" spans="1:10" ht="15.75" x14ac:dyDescent="0.3">
      <c r="A215" s="13" t="str">
        <f>HYPERLINK("https://parts-sales.ru/parts/MAN/06017390012","06.01739-0012")</f>
        <v>06.01739-0012</v>
      </c>
      <c r="B215" s="13" t="str">
        <f>HYPERLINK("https://parts-sales.ru/parts/MAN/06017390012","Винт с 6-гранной головкой M16X1,5X55-8.8")</f>
        <v>Винт с 6-гранной головкой M16X1,5X55-8.8</v>
      </c>
      <c r="C215" s="5" t="s">
        <v>6</v>
      </c>
      <c r="D215" s="6">
        <v>3283.2</v>
      </c>
      <c r="E215" s="6">
        <v>1005</v>
      </c>
      <c r="F215" s="9">
        <v>0.69</v>
      </c>
      <c r="H215" s="11"/>
      <c r="I215" s="11"/>
      <c r="J215" s="11"/>
    </row>
    <row r="216" spans="1:10" ht="15.75" x14ac:dyDescent="0.3">
      <c r="A216" s="12" t="str">
        <f>HYPERLINK("https://parts-sales.ru/parts/MAN/06017838514","06.01783-8514")</f>
        <v>06.01783-8514</v>
      </c>
      <c r="B216" s="12" t="str">
        <f>HYPERLINK("https://parts-sales.ru/parts/MAN/06017838514","Винт с 6-гранной головкой M16X1,5X45LH-8")</f>
        <v>Винт с 6-гранной головкой M16X1,5X45LH-8</v>
      </c>
      <c r="C216" s="3" t="s">
        <v>6</v>
      </c>
      <c r="D216" s="4">
        <v>2703.6</v>
      </c>
      <c r="E216" s="4">
        <v>972</v>
      </c>
      <c r="F216" s="8">
        <v>0.64</v>
      </c>
      <c r="H216" s="11"/>
      <c r="I216" s="11"/>
      <c r="J216" s="11"/>
    </row>
    <row r="217" spans="1:10" ht="15.75" x14ac:dyDescent="0.3">
      <c r="A217" s="13" t="str">
        <f>HYPERLINK("https://parts-sales.ru/parts/MAN/06019032489","06.01903-2489")</f>
        <v>06.01903-2489</v>
      </c>
      <c r="B217" s="13" t="str">
        <f>HYPERLINK("https://parts-sales.ru/parts/MAN/06019032489","Болт CM14X1,5X190-10.9-E18-MAN183-B")</f>
        <v>Болт CM14X1,5X190-10.9-E18-MAN183-B</v>
      </c>
      <c r="C217" s="5" t="s">
        <v>6</v>
      </c>
      <c r="D217" s="6">
        <v>3504</v>
      </c>
      <c r="E217" s="6">
        <v>90</v>
      </c>
      <c r="F217" s="9">
        <v>0.97</v>
      </c>
      <c r="H217" s="11"/>
      <c r="I217" s="11"/>
      <c r="J217" s="11"/>
    </row>
    <row r="218" spans="1:10" ht="15.75" x14ac:dyDescent="0.3">
      <c r="A218" s="12" t="str">
        <f>HYPERLINK("https://parts-sales.ru/parts/MAN/06019090016","06.01909-0016")</f>
        <v>06.01909-0016</v>
      </c>
      <c r="B218" s="12" t="str">
        <f>HYPERLINK("https://parts-sales.ru/parts/MAN/06019090016","Предохранительный винт BM14X1,5X130-10.9")</f>
        <v>Предохранительный винт BM14X1,5X130-10.9</v>
      </c>
      <c r="C218" s="3" t="s">
        <v>6</v>
      </c>
      <c r="D218" s="4">
        <v>937.2</v>
      </c>
      <c r="E218" s="4">
        <v>347</v>
      </c>
      <c r="F218" s="8">
        <v>0.63</v>
      </c>
      <c r="H218" s="11"/>
      <c r="I218" s="11"/>
      <c r="J218" s="11"/>
    </row>
    <row r="219" spans="1:10" ht="15.75" x14ac:dyDescent="0.3">
      <c r="A219" s="13" t="str">
        <f>HYPERLINK("https://parts-sales.ru/parts/MAN/06019090017","06.01909-0017")</f>
        <v>06.01909-0017</v>
      </c>
      <c r="B219" s="13" t="str">
        <f>HYPERLINK("https://parts-sales.ru/parts/MAN/06019090017","Болт M16X125-8.8-SW")</f>
        <v>Болт M16X125-8.8-SW</v>
      </c>
      <c r="C219" s="5" t="s">
        <v>6</v>
      </c>
      <c r="D219" s="6">
        <v>1930.8</v>
      </c>
      <c r="E219" s="6">
        <v>462</v>
      </c>
      <c r="F219" s="9">
        <v>0.76</v>
      </c>
      <c r="H219" s="11"/>
      <c r="I219" s="11"/>
      <c r="J219" s="11"/>
    </row>
    <row r="220" spans="1:10" ht="15.75" x14ac:dyDescent="0.3">
      <c r="A220" s="12" t="str">
        <f>HYPERLINK("https://parts-sales.ru/parts/MAN/06020934205","06.02093-4205")</f>
        <v>06.02093-4205</v>
      </c>
      <c r="B220" s="12" t="str">
        <f>HYPERLINK("https://parts-sales.ru/parts/MAN/06020934205","Винт с цилиндрической головкой M5X16-8.8")</f>
        <v>Винт с цилиндрической головкой M5X16-8.8</v>
      </c>
      <c r="C220" s="3" t="s">
        <v>6</v>
      </c>
      <c r="D220" s="4">
        <v>182.4</v>
      </c>
      <c r="E220" s="4">
        <v>34</v>
      </c>
      <c r="F220" s="8">
        <v>0.81</v>
      </c>
      <c r="H220" s="11"/>
      <c r="I220" s="11"/>
      <c r="J220" s="11"/>
    </row>
    <row r="221" spans="1:10" ht="15.75" x14ac:dyDescent="0.3">
      <c r="A221" s="13" t="str">
        <f>HYPERLINK("https://parts-sales.ru/parts/MAN/06020934304","06.02093-4304")</f>
        <v>06.02093-4304</v>
      </c>
      <c r="B221" s="13" t="str">
        <f>HYPERLINK("https://parts-sales.ru/parts/MAN/06020934304","Винт с цилиндрической головкой M6X12-8.8")</f>
        <v>Винт с цилиндрической головкой M6X12-8.8</v>
      </c>
      <c r="C221" s="5" t="s">
        <v>6</v>
      </c>
      <c r="D221" s="6">
        <v>250.8</v>
      </c>
      <c r="E221" s="6">
        <v>71</v>
      </c>
      <c r="F221" s="9">
        <v>0.72</v>
      </c>
      <c r="H221" s="11"/>
      <c r="I221" s="11"/>
      <c r="J221" s="11"/>
    </row>
    <row r="222" spans="1:10" ht="15.75" x14ac:dyDescent="0.3">
      <c r="A222" s="12" t="str">
        <f>HYPERLINK("https://parts-sales.ru/parts/MAN/06020934313","06.02093-4313")</f>
        <v>06.02093-4313</v>
      </c>
      <c r="B222" s="12" t="str">
        <f>HYPERLINK("https://parts-sales.ru/parts/MAN/06020934313","Винт с цилиндрической головкой M6X45-8.8")</f>
        <v>Винт с цилиндрической головкой M6X45-8.8</v>
      </c>
      <c r="C222" s="3" t="s">
        <v>6</v>
      </c>
      <c r="D222" s="4">
        <v>291.60000000000002</v>
      </c>
      <c r="E222" s="4">
        <v>65</v>
      </c>
      <c r="F222" s="8">
        <v>0.78</v>
      </c>
      <c r="H222" s="11"/>
      <c r="I222" s="11"/>
      <c r="J222" s="11"/>
    </row>
    <row r="223" spans="1:10" ht="15.75" x14ac:dyDescent="0.3">
      <c r="A223" s="13" t="str">
        <f>HYPERLINK("https://parts-sales.ru/parts/MAN/06020934408","06.02093-4408")</f>
        <v>06.02093-4408</v>
      </c>
      <c r="B223" s="13" t="str">
        <f>HYPERLINK("https://parts-sales.ru/parts/MAN/06020934408","Винт с цилиндрической головкой M8X22-8.8")</f>
        <v>Винт с цилиндрической головкой M8X22-8.8</v>
      </c>
      <c r="C223" s="5" t="s">
        <v>6</v>
      </c>
      <c r="D223" s="6">
        <v>548.4</v>
      </c>
      <c r="E223" s="6">
        <v>14</v>
      </c>
      <c r="F223" s="9">
        <v>0.97</v>
      </c>
      <c r="H223" s="11"/>
      <c r="I223" s="11"/>
      <c r="J223" s="11"/>
    </row>
    <row r="224" spans="1:10" ht="15.75" x14ac:dyDescent="0.3">
      <c r="A224" s="12" t="str">
        <f>HYPERLINK("https://parts-sales.ru/parts/MAN/06020934411","06.02093-4411")</f>
        <v>06.02093-4411</v>
      </c>
      <c r="B224" s="12" t="str">
        <f>HYPERLINK("https://parts-sales.ru/parts/MAN/06020934411","Винт с цилиндрической головкой M8X35-8.8")</f>
        <v>Винт с цилиндрической головкой M8X35-8.8</v>
      </c>
      <c r="C224" s="3" t="s">
        <v>6</v>
      </c>
      <c r="D224" s="4">
        <v>668.4</v>
      </c>
      <c r="E224" s="4">
        <v>137</v>
      </c>
      <c r="F224" s="8">
        <v>0.8</v>
      </c>
      <c r="H224" s="11"/>
      <c r="I224" s="11"/>
      <c r="J224" s="11"/>
    </row>
    <row r="225" spans="1:10" ht="15.75" x14ac:dyDescent="0.3">
      <c r="A225" s="13" t="str">
        <f>HYPERLINK("https://parts-sales.ru/parts/MAN/06020934612","06.02093-4612")</f>
        <v>06.02093-4612</v>
      </c>
      <c r="B225" s="13" t="str">
        <f>HYPERLINK("https://parts-sales.ru/parts/MAN/06020934612","Винт с цилиндрической головкой M12X40-8.")</f>
        <v>Винт с цилиндрической головкой M12X40-8.</v>
      </c>
      <c r="C225" s="5" t="s">
        <v>6</v>
      </c>
      <c r="D225" s="6">
        <v>472.8</v>
      </c>
      <c r="E225" s="6">
        <v>93</v>
      </c>
      <c r="F225" s="9">
        <v>0.8</v>
      </c>
      <c r="H225" s="11"/>
      <c r="I225" s="11"/>
      <c r="J225" s="11"/>
    </row>
    <row r="226" spans="1:10" ht="15.75" x14ac:dyDescent="0.3">
      <c r="A226" s="12" t="str">
        <f>HYPERLINK("https://parts-sales.ru/parts/MAN/06020944510","06.02094-4510")</f>
        <v>06.02094-4510</v>
      </c>
      <c r="B226" s="12" t="str">
        <f>HYPERLINK("https://parts-sales.ru/parts/MAN/06020944510","Винт с цилиндрической головкой M10X30-10")</f>
        <v>Винт с цилиндрической головкой M10X30-10</v>
      </c>
      <c r="C226" s="3" t="s">
        <v>6</v>
      </c>
      <c r="D226" s="4">
        <v>420</v>
      </c>
      <c r="E226" s="4">
        <v>103</v>
      </c>
      <c r="F226" s="8">
        <v>0.75</v>
      </c>
      <c r="H226" s="11"/>
      <c r="I226" s="11"/>
      <c r="J226" s="11"/>
    </row>
    <row r="227" spans="1:10" ht="15.75" x14ac:dyDescent="0.3">
      <c r="A227" s="13" t="str">
        <f>HYPERLINK("https://parts-sales.ru/parts/MAN/06020944511","06.02094-4511")</f>
        <v>06.02094-4511</v>
      </c>
      <c r="B227" s="13" t="str">
        <f>HYPERLINK("https://parts-sales.ru/parts/MAN/06020944511","Винт с цилиндрической головкой M10X35-10")</f>
        <v>Винт с цилиндрической головкой M10X35-10</v>
      </c>
      <c r="C227" s="5" t="s">
        <v>6</v>
      </c>
      <c r="D227" s="6">
        <v>573.66999999999996</v>
      </c>
      <c r="E227" s="6">
        <v>382</v>
      </c>
      <c r="F227" s="9">
        <v>0.33</v>
      </c>
      <c r="H227" s="11"/>
      <c r="I227" s="11"/>
      <c r="J227" s="11"/>
    </row>
    <row r="228" spans="1:10" ht="15.75" x14ac:dyDescent="0.3">
      <c r="A228" s="12" t="str">
        <f>HYPERLINK("https://parts-sales.ru/parts/MAN/06020944610","06.02094-4610")</f>
        <v>06.02094-4610</v>
      </c>
      <c r="B228" s="12" t="str">
        <f>HYPERLINK("https://parts-sales.ru/parts/MAN/06020944610","Винт с цилиндрической головкой M12X30-10")</f>
        <v>Винт с цилиндрической головкой M12X30-10</v>
      </c>
      <c r="C228" s="3" t="s">
        <v>6</v>
      </c>
      <c r="D228" s="4">
        <v>1227.5999999999999</v>
      </c>
      <c r="E228" s="4">
        <v>275</v>
      </c>
      <c r="F228" s="8">
        <v>0.78</v>
      </c>
      <c r="H228" s="11"/>
      <c r="I228" s="11"/>
      <c r="J228" s="11"/>
    </row>
    <row r="229" spans="1:10" ht="15.75" x14ac:dyDescent="0.3">
      <c r="A229" s="13" t="str">
        <f>HYPERLINK("https://parts-sales.ru/parts/MAN/06020944611","06.02094-4611")</f>
        <v>06.02094-4611</v>
      </c>
      <c r="B229" s="13" t="str">
        <f>HYPERLINK("https://parts-sales.ru/parts/MAN/06020944611","Винт с цилиндрической головкой M12X35-10")</f>
        <v>Винт с цилиндрической головкой M12X35-10</v>
      </c>
      <c r="C229" s="5" t="s">
        <v>6</v>
      </c>
      <c r="D229" s="6">
        <v>1208.4000000000001</v>
      </c>
      <c r="E229" s="6">
        <v>275</v>
      </c>
      <c r="F229" s="9">
        <v>0.77</v>
      </c>
      <c r="H229" s="11"/>
      <c r="I229" s="11"/>
      <c r="J229" s="11"/>
    </row>
    <row r="230" spans="1:10" ht="15.75" x14ac:dyDescent="0.3">
      <c r="A230" s="12" t="str">
        <f>HYPERLINK("https://parts-sales.ru/parts/MAN/06020990406","06.02099-0406")</f>
        <v>06.02099-0406</v>
      </c>
      <c r="B230" s="12" t="str">
        <f>HYPERLINK("https://parts-sales.ru/parts/MAN/06020990406","Винт с цилиндрической головкой M8X16-A2-")</f>
        <v>Винт с цилиндрической головкой M8X16-A2-</v>
      </c>
      <c r="C230" s="3" t="s">
        <v>6</v>
      </c>
      <c r="D230" s="4">
        <v>662.4</v>
      </c>
      <c r="E230" s="4">
        <v>2</v>
      </c>
      <c r="F230" s="8">
        <v>1</v>
      </c>
      <c r="H230" s="11"/>
      <c r="I230" s="11"/>
      <c r="J230" s="11"/>
    </row>
    <row r="231" spans="1:10" ht="15.75" x14ac:dyDescent="0.3">
      <c r="A231" s="13" t="str">
        <f>HYPERLINK("https://parts-sales.ru/parts/MAN/06020990424","06.02099-0424")</f>
        <v>06.02099-0424</v>
      </c>
      <c r="B231" s="13" t="str">
        <f>HYPERLINK("https://parts-sales.ru/parts/MAN/06020990424","Винт с цилиндрической головкой M6X12-A2-")</f>
        <v>Винт с цилиндрической головкой M6X12-A2-</v>
      </c>
      <c r="C231" s="5" t="s">
        <v>6</v>
      </c>
      <c r="D231" s="6">
        <v>338.4</v>
      </c>
      <c r="E231" s="6">
        <v>85</v>
      </c>
      <c r="F231" s="9">
        <v>0.75</v>
      </c>
      <c r="H231" s="11"/>
      <c r="I231" s="11"/>
      <c r="J231" s="11"/>
    </row>
    <row r="232" spans="1:10" ht="15.75" x14ac:dyDescent="0.3">
      <c r="A232" s="12" t="str">
        <f>HYPERLINK("https://parts-sales.ru/parts/MAN/06020990442","06.02099-0442")</f>
        <v>06.02099-0442</v>
      </c>
      <c r="B232" s="12" t="str">
        <f>HYPERLINK("https://parts-sales.ru/parts/MAN/06020990442","Винт с цилиндрической головкой M14X1,5X4")</f>
        <v>Винт с цилиндрической головкой M14X1,5X4</v>
      </c>
      <c r="C232" s="3" t="s">
        <v>6</v>
      </c>
      <c r="D232" s="4">
        <v>1462.8</v>
      </c>
      <c r="E232" s="4">
        <v>203</v>
      </c>
      <c r="F232" s="8">
        <v>0.86</v>
      </c>
      <c r="H232" s="11"/>
      <c r="I232" s="11"/>
      <c r="J232" s="11"/>
    </row>
    <row r="233" spans="1:10" ht="15.75" x14ac:dyDescent="0.3">
      <c r="A233" s="13" t="str">
        <f>HYPERLINK("https://parts-sales.ru/parts/MAN/06021000404","06.02100-0404")</f>
        <v>06.02100-0404</v>
      </c>
      <c r="B233" s="13" t="str">
        <f>HYPERLINK("https://parts-sales.ru/parts/MAN/06021000404","Винт с цилиндрической головкой M10X20-8.")</f>
        <v>Винт с цилиндрической головкой M10X20-8.</v>
      </c>
      <c r="C233" s="5" t="s">
        <v>6</v>
      </c>
      <c r="D233" s="6">
        <v>326.39999999999998</v>
      </c>
      <c r="E233" s="6">
        <v>87</v>
      </c>
      <c r="F233" s="9">
        <v>0.73</v>
      </c>
      <c r="H233" s="11"/>
      <c r="I233" s="11"/>
      <c r="J233" s="11"/>
    </row>
    <row r="234" spans="1:10" ht="15.75" x14ac:dyDescent="0.3">
      <c r="A234" s="12" t="str">
        <f>HYPERLINK("https://parts-sales.ru/parts/MAN/06021020201","06.02102-0201")</f>
        <v>06.02102-0201</v>
      </c>
      <c r="B234" s="12" t="str">
        <f>HYPERLINK("https://parts-sales.ru/parts/MAN/06021020201","Винт с цилиндрической головкой M6X10-8.8")</f>
        <v>Винт с цилиндрической головкой M6X10-8.8</v>
      </c>
      <c r="C234" s="3" t="s">
        <v>6</v>
      </c>
      <c r="D234" s="4">
        <v>312</v>
      </c>
      <c r="E234" s="4">
        <v>11</v>
      </c>
      <c r="F234" s="8">
        <v>0.96</v>
      </c>
      <c r="H234" s="11"/>
      <c r="I234" s="11"/>
      <c r="J234" s="11"/>
    </row>
    <row r="235" spans="1:10" ht="15.75" x14ac:dyDescent="0.3">
      <c r="A235" s="13" t="str">
        <f>HYPERLINK("https://parts-sales.ru/parts/MAN/06021090050","06.02109-0050")</f>
        <v>06.02109-0050</v>
      </c>
      <c r="B235" s="13" t="str">
        <f>HYPERLINK("https://parts-sales.ru/parts/MAN/06021090050","Винт с цилиндрической головкой M10X130-8")</f>
        <v>Винт с цилиндрической головкой M10X130-8</v>
      </c>
      <c r="C235" s="5" t="s">
        <v>6</v>
      </c>
      <c r="D235" s="6">
        <v>1860</v>
      </c>
      <c r="E235" s="6">
        <v>366</v>
      </c>
      <c r="F235" s="9">
        <v>0.8</v>
      </c>
      <c r="H235" s="11"/>
      <c r="I235" s="11"/>
      <c r="J235" s="11"/>
    </row>
    <row r="236" spans="1:10" ht="15.75" x14ac:dyDescent="0.3">
      <c r="A236" s="12" t="str">
        <f>HYPERLINK("https://parts-sales.ru/parts/MAN/06021090052","06.02109-0052")</f>
        <v>06.02109-0052</v>
      </c>
      <c r="B236" s="12" t="str">
        <f>HYPERLINK("https://parts-sales.ru/parts/MAN/06021090052","Винт с цилиндрической головкой M6X20-8.8")</f>
        <v>Винт с цилиндрической головкой M6X20-8.8</v>
      </c>
      <c r="C236" s="3" t="s">
        <v>6</v>
      </c>
      <c r="D236" s="4">
        <v>367.2</v>
      </c>
      <c r="E236" s="4">
        <v>84</v>
      </c>
      <c r="F236" s="8">
        <v>0.77</v>
      </c>
      <c r="H236" s="11"/>
      <c r="I236" s="11"/>
      <c r="J236" s="11"/>
    </row>
    <row r="237" spans="1:10" ht="15.75" x14ac:dyDescent="0.3">
      <c r="A237" s="13" t="str">
        <f>HYPERLINK("https://parts-sales.ru/parts/MAN/06021090053","06.02109-0053")</f>
        <v>06.02109-0053</v>
      </c>
      <c r="B237" s="13" t="str">
        <f>HYPERLINK("https://parts-sales.ru/parts/MAN/06021090053","Винт с цилиндрической головкой M10X25-8.")</f>
        <v>Винт с цилиндрической головкой M10X25-8.</v>
      </c>
      <c r="C237" s="5" t="s">
        <v>6</v>
      </c>
      <c r="D237" s="6">
        <v>739.2</v>
      </c>
      <c r="E237" s="6">
        <v>33</v>
      </c>
      <c r="F237" s="9">
        <v>0.96</v>
      </c>
      <c r="H237" s="11"/>
      <c r="I237" s="11"/>
      <c r="J237" s="11"/>
    </row>
    <row r="238" spans="1:10" ht="15.75" x14ac:dyDescent="0.3">
      <c r="A238" s="12" t="str">
        <f>HYPERLINK("https://parts-sales.ru/parts/MAN/06021090067","06.02109-0067")</f>
        <v>06.02109-0067</v>
      </c>
      <c r="B238" s="12" t="str">
        <f>HYPERLINK("https://parts-sales.ru/parts/MAN/06021090067","Винт с цилиндрической головкой M10X25-10")</f>
        <v>Винт с цилиндрической головкой M10X25-10</v>
      </c>
      <c r="C238" s="3" t="s">
        <v>6</v>
      </c>
      <c r="D238" s="4">
        <v>417.6</v>
      </c>
      <c r="E238" s="4">
        <v>86</v>
      </c>
      <c r="F238" s="8">
        <v>0.79</v>
      </c>
      <c r="H238" s="11"/>
      <c r="I238" s="11"/>
      <c r="J238" s="11"/>
    </row>
    <row r="239" spans="1:10" ht="15.75" x14ac:dyDescent="0.3">
      <c r="A239" s="13" t="str">
        <f>HYPERLINK("https://parts-sales.ru/parts/MAN/06021090074","06.02109-0074")</f>
        <v>06.02109-0074</v>
      </c>
      <c r="B239" s="13" t="str">
        <f>HYPERLINK("https://parts-sales.ru/parts/MAN/06021090074","Винт с цилиндрической головкой M12X40-8.")</f>
        <v>Винт с цилиндрической головкой M12X40-8.</v>
      </c>
      <c r="C239" s="5" t="s">
        <v>6</v>
      </c>
      <c r="D239" s="6">
        <v>1744.8</v>
      </c>
      <c r="E239" s="6">
        <v>216</v>
      </c>
      <c r="F239" s="9">
        <v>0.88</v>
      </c>
      <c r="H239" s="11"/>
      <c r="I239" s="11"/>
      <c r="J239" s="11"/>
    </row>
    <row r="240" spans="1:10" ht="15.75" x14ac:dyDescent="0.3">
      <c r="A240" s="12" t="str">
        <f>HYPERLINK("https://parts-sales.ru/parts/MAN/06021400504","06.02140-0504")</f>
        <v>06.02140-0504</v>
      </c>
      <c r="B240" s="12" t="str">
        <f>HYPERLINK("https://parts-sales.ru/parts/MAN/06021400504","Винт с потайной головкой M8X16-8.8-MAN18")</f>
        <v>Винт с потайной головкой M8X16-8.8-MAN18</v>
      </c>
      <c r="C240" s="3" t="s">
        <v>6</v>
      </c>
      <c r="D240" s="4">
        <v>277.2</v>
      </c>
      <c r="E240" s="4">
        <v>76</v>
      </c>
      <c r="F240" s="8">
        <v>0.73</v>
      </c>
      <c r="H240" s="11"/>
      <c r="I240" s="11"/>
      <c r="J240" s="11"/>
    </row>
    <row r="241" spans="1:10" ht="15.75" x14ac:dyDescent="0.3">
      <c r="A241" s="13" t="str">
        <f>HYPERLINK("https://parts-sales.ru/parts/MAN/06021402822","06.02140-2822")</f>
        <v>06.02140-2822</v>
      </c>
      <c r="B241" s="13" t="str">
        <f>HYPERLINK("https://parts-sales.ru/parts/MAN/06021402822","Винт с потайной головкой M14X1,5X75-8.8-")</f>
        <v>Винт с потайной головкой M14X1,5X75-8.8-</v>
      </c>
      <c r="C241" s="5" t="s">
        <v>6</v>
      </c>
      <c r="D241" s="6">
        <v>2310</v>
      </c>
      <c r="E241" s="6">
        <v>113</v>
      </c>
      <c r="F241" s="9">
        <v>0.95</v>
      </c>
      <c r="H241" s="11"/>
      <c r="I241" s="11"/>
      <c r="J241" s="11"/>
    </row>
    <row r="242" spans="1:10" ht="15.75" x14ac:dyDescent="0.3">
      <c r="A242" s="12" t="str">
        <f>HYPERLINK("https://parts-sales.ru/parts/MAN/06021490063","06.02149-0063")</f>
        <v>06.02149-0063</v>
      </c>
      <c r="B242" s="12" t="str">
        <f>HYPERLINK("https://parts-sales.ru/parts/MAN/06021490063","Винт с потайной головкой M14X1,5X40-10.9")</f>
        <v>Винт с потайной головкой M14X1,5X40-10.9</v>
      </c>
      <c r="C242" s="3" t="s">
        <v>6</v>
      </c>
      <c r="D242" s="4">
        <v>469.2</v>
      </c>
      <c r="E242" s="4">
        <v>26</v>
      </c>
      <c r="F242" s="8">
        <v>0.94</v>
      </c>
      <c r="H242" s="11"/>
      <c r="I242" s="11"/>
      <c r="J242" s="11"/>
    </row>
    <row r="243" spans="1:10" ht="15.75" x14ac:dyDescent="0.3">
      <c r="A243" s="13" t="str">
        <f>HYPERLINK("https://parts-sales.ru/parts/MAN/06021900813","06.02190-0813")</f>
        <v>06.02190-0813</v>
      </c>
      <c r="B243" s="13" t="str">
        <f>HYPERLINK("https://parts-sales.ru/parts/MAN/06021900813","Винт с цилиндрической головкой M16X45-8.")</f>
        <v>Винт с цилиндрической головкой M16X45-8.</v>
      </c>
      <c r="C243" s="5" t="s">
        <v>6</v>
      </c>
      <c r="D243" s="6">
        <v>1752</v>
      </c>
      <c r="E243" s="6">
        <v>429</v>
      </c>
      <c r="F243" s="9">
        <v>0.76</v>
      </c>
      <c r="H243" s="11"/>
      <c r="I243" s="11"/>
      <c r="J243" s="11"/>
    </row>
    <row r="244" spans="1:10" ht="15.75" x14ac:dyDescent="0.3">
      <c r="A244" s="12" t="str">
        <f>HYPERLINK("https://parts-sales.ru/parts/MAN/06021910407","06.02191-0407")</f>
        <v>06.02191-0407</v>
      </c>
      <c r="B244" s="12" t="str">
        <f>HYPERLINK("https://parts-sales.ru/parts/MAN/06021910407","Винт с цилиндрической головкой M8X20-10.")</f>
        <v>Винт с цилиндрической головкой M8X20-10.</v>
      </c>
      <c r="C244" s="3" t="s">
        <v>6</v>
      </c>
      <c r="D244" s="4">
        <v>528</v>
      </c>
      <c r="E244" s="4">
        <v>122</v>
      </c>
      <c r="F244" s="8">
        <v>0.77</v>
      </c>
      <c r="H244" s="11"/>
      <c r="I244" s="11"/>
      <c r="J244" s="11"/>
    </row>
    <row r="245" spans="1:10" ht="15.75" x14ac:dyDescent="0.3">
      <c r="A245" s="13" t="str">
        <f>HYPERLINK("https://parts-sales.ru/parts/MAN/06021910408","06.02191-0408")</f>
        <v>06.02191-0408</v>
      </c>
      <c r="B245" s="13" t="str">
        <f>HYPERLINK("https://parts-sales.ru/parts/MAN/06021910408","Винт с цилиндрической головкой M8X22-10.")</f>
        <v>Винт с цилиндрической головкой M8X22-10.</v>
      </c>
      <c r="C245" s="5" t="s">
        <v>6</v>
      </c>
      <c r="D245" s="6">
        <v>577.20000000000005</v>
      </c>
      <c r="E245" s="6">
        <v>130</v>
      </c>
      <c r="F245" s="9">
        <v>0.77</v>
      </c>
      <c r="H245" s="11"/>
      <c r="I245" s="11"/>
      <c r="J245" s="11"/>
    </row>
    <row r="246" spans="1:10" ht="15.75" x14ac:dyDescent="0.3">
      <c r="A246" s="12" t="str">
        <f>HYPERLINK("https://parts-sales.ru/parts/MAN/06021910422","06.02191-0422")</f>
        <v>06.02191-0422</v>
      </c>
      <c r="B246" s="12" t="str">
        <f>HYPERLINK("https://parts-sales.ru/parts/MAN/06021910422","Винт с цилиндрической головкой M8X100-10")</f>
        <v>Винт с цилиндрической головкой M8X100-10</v>
      </c>
      <c r="C246" s="3" t="s">
        <v>6</v>
      </c>
      <c r="D246" s="4">
        <v>1604.4</v>
      </c>
      <c r="E246" s="4">
        <v>320</v>
      </c>
      <c r="F246" s="8">
        <v>0.8</v>
      </c>
      <c r="H246" s="11"/>
      <c r="I246" s="11"/>
      <c r="J246" s="11"/>
    </row>
    <row r="247" spans="1:10" ht="15.75" x14ac:dyDescent="0.3">
      <c r="A247" s="13" t="str">
        <f>HYPERLINK("https://parts-sales.ru/parts/MAN/06021912614","06.02191-2614")</f>
        <v>06.02191-2614</v>
      </c>
      <c r="B247" s="13" t="str">
        <f>HYPERLINK("https://parts-sales.ru/parts/MAN/06021912614","Винт с цилиндрической головкой M12X1,5X5")</f>
        <v>Винт с цилиндрической головкой M12X1,5X5</v>
      </c>
      <c r="C247" s="5" t="s">
        <v>6</v>
      </c>
      <c r="D247" s="6">
        <v>1452</v>
      </c>
      <c r="E247" s="6">
        <v>338</v>
      </c>
      <c r="F247" s="9">
        <v>0.77</v>
      </c>
      <c r="H247" s="11"/>
      <c r="I247" s="11"/>
      <c r="J247" s="11"/>
    </row>
    <row r="248" spans="1:10" ht="15.75" x14ac:dyDescent="0.3">
      <c r="A248" s="12" t="str">
        <f>HYPERLINK("https://parts-sales.ru/parts/MAN/06021912618","06.02191-2618")</f>
        <v>06.02191-2618</v>
      </c>
      <c r="B248" s="12" t="str">
        <f>HYPERLINK("https://parts-sales.ru/parts/MAN/06021912618","Винт с цилиндрической головкой M12X1,5X7")</f>
        <v>Винт с цилиндрической головкой M12X1,5X7</v>
      </c>
      <c r="C248" s="3" t="s">
        <v>6</v>
      </c>
      <c r="D248" s="4">
        <v>1663.2</v>
      </c>
      <c r="E248" s="4">
        <v>383</v>
      </c>
      <c r="F248" s="8">
        <v>0.77</v>
      </c>
      <c r="H248" s="11"/>
      <c r="I248" s="11"/>
      <c r="J248" s="11"/>
    </row>
    <row r="249" spans="1:10" ht="15.75" x14ac:dyDescent="0.3">
      <c r="A249" s="13" t="str">
        <f>HYPERLINK("https://parts-sales.ru/parts/MAN/06021912620","06.02191-2620")</f>
        <v>06.02191-2620</v>
      </c>
      <c r="B249" s="13" t="str">
        <f>HYPERLINK("https://parts-sales.ru/parts/MAN/06021912620","Винт с цилиндрической головкой M12X1,5X8")</f>
        <v>Винт с цилиндрической головкой M12X1,5X8</v>
      </c>
      <c r="C249" s="5" t="s">
        <v>6</v>
      </c>
      <c r="D249" s="6">
        <v>1762.8</v>
      </c>
      <c r="E249" s="6">
        <v>410</v>
      </c>
      <c r="F249" s="9">
        <v>0.77</v>
      </c>
      <c r="H249" s="11"/>
      <c r="I249" s="11"/>
      <c r="J249" s="11"/>
    </row>
    <row r="250" spans="1:10" ht="15.75" x14ac:dyDescent="0.3">
      <c r="A250" s="12" t="str">
        <f>HYPERLINK("https://parts-sales.ru/parts/MAN/06022021009","06.02202-1009")</f>
        <v>06.02202-1009</v>
      </c>
      <c r="B250" s="12" t="str">
        <f>HYPERLINK("https://parts-sales.ru/parts/MAN/06022021009","6-гранный наборный винт M20X2X55")</f>
        <v>6-гранный наборный винт M20X2X55</v>
      </c>
      <c r="C250" s="3" t="s">
        <v>6</v>
      </c>
      <c r="D250" s="4">
        <v>3241.2</v>
      </c>
      <c r="E250" s="4">
        <v>166</v>
      </c>
      <c r="F250" s="8">
        <v>0.95</v>
      </c>
      <c r="H250" s="11"/>
      <c r="I250" s="11"/>
      <c r="J250" s="11"/>
    </row>
    <row r="251" spans="1:10" ht="15.75" x14ac:dyDescent="0.3">
      <c r="A251" s="13" t="str">
        <f>HYPERLINK("https://parts-sales.ru/parts/MAN/06022021013","06.02202-1013")</f>
        <v>06.02202-1013</v>
      </c>
      <c r="B251" s="13" t="str">
        <f>HYPERLINK("https://parts-sales.ru/parts/MAN/06022021013","6-гранный наборный винт M20X2X75")</f>
        <v>6-гранный наборный винт M20X2X75</v>
      </c>
      <c r="C251" s="5" t="s">
        <v>6</v>
      </c>
      <c r="D251" s="6">
        <v>3013.78</v>
      </c>
      <c r="E251" s="6">
        <v>416</v>
      </c>
      <c r="F251" s="9">
        <v>0.86</v>
      </c>
      <c r="H251" s="11"/>
      <c r="I251" s="11"/>
      <c r="J251" s="11"/>
    </row>
    <row r="252" spans="1:10" ht="15.75" x14ac:dyDescent="0.3">
      <c r="A252" s="12" t="str">
        <f>HYPERLINK("https://parts-sales.ru/parts/MAN/06022021105","06.02202-1105")</f>
        <v>06.02202-1105</v>
      </c>
      <c r="B252" s="12" t="str">
        <f>HYPERLINK("https://parts-sales.ru/parts/MAN/06022021105","6-гранный наборный винт M20X1,5X35")</f>
        <v>6-гранный наборный винт M20X1,5X35</v>
      </c>
      <c r="C252" s="3" t="s">
        <v>6</v>
      </c>
      <c r="D252" s="4">
        <v>2389.1999999999998</v>
      </c>
      <c r="E252" s="4">
        <v>575</v>
      </c>
      <c r="F252" s="8">
        <v>0.76</v>
      </c>
      <c r="H252" s="11"/>
      <c r="I252" s="11"/>
      <c r="J252" s="11"/>
    </row>
    <row r="253" spans="1:10" ht="15.75" x14ac:dyDescent="0.3">
      <c r="A253" s="13" t="str">
        <f>HYPERLINK("https://parts-sales.ru/parts/MAN/06022021111","06.02202-1111")</f>
        <v>06.02202-1111</v>
      </c>
      <c r="B253" s="13" t="str">
        <f>HYPERLINK("https://parts-sales.ru/parts/MAN/06022021111","6-гранный наборный винт M20X1,5X65")</f>
        <v>6-гранный наборный винт M20X1,5X65</v>
      </c>
      <c r="C253" s="5" t="s">
        <v>6</v>
      </c>
      <c r="D253" s="6">
        <v>3812.4</v>
      </c>
      <c r="E253" s="6">
        <v>764</v>
      </c>
      <c r="F253" s="9">
        <v>0.8</v>
      </c>
      <c r="H253" s="11"/>
      <c r="I253" s="11"/>
      <c r="J253" s="11"/>
    </row>
    <row r="254" spans="1:10" ht="15.75" x14ac:dyDescent="0.3">
      <c r="A254" s="12" t="str">
        <f>HYPERLINK("https://parts-sales.ru/parts/MAN/06022021115","06.02202-1115")</f>
        <v>06.02202-1115</v>
      </c>
      <c r="B254" s="12" t="str">
        <f>HYPERLINK("https://parts-sales.ru/parts/MAN/06022021115","6-гранный наборный винт M20X1,5X85")</f>
        <v>6-гранный наборный винт M20X1,5X85</v>
      </c>
      <c r="C254" s="3" t="s">
        <v>6</v>
      </c>
      <c r="D254" s="4">
        <v>4716</v>
      </c>
      <c r="E254" s="4">
        <v>988</v>
      </c>
      <c r="F254" s="8">
        <v>0.79</v>
      </c>
      <c r="H254" s="11"/>
      <c r="I254" s="11"/>
      <c r="J254" s="11"/>
    </row>
    <row r="255" spans="1:10" ht="15.75" x14ac:dyDescent="0.3">
      <c r="A255" s="13" t="str">
        <f>HYPERLINK("https://parts-sales.ru/parts/MAN/06022024503","06.02202-4503")</f>
        <v>06.02202-4503</v>
      </c>
      <c r="B255" s="13" t="str">
        <f>HYPERLINK("https://parts-sales.ru/parts/MAN/06022024503","6-гранный наборный винт M12X1,5X25-MAN18")</f>
        <v>6-гранный наборный винт M12X1,5X25-MAN18</v>
      </c>
      <c r="C255" s="5" t="s">
        <v>6</v>
      </c>
      <c r="D255" s="6">
        <v>799.2</v>
      </c>
      <c r="E255" s="6">
        <v>15</v>
      </c>
      <c r="F255" s="9">
        <v>0.98</v>
      </c>
      <c r="H255" s="11"/>
      <c r="I255" s="11"/>
      <c r="J255" s="11"/>
    </row>
    <row r="256" spans="1:10" ht="15.75" x14ac:dyDescent="0.3">
      <c r="A256" s="12" t="str">
        <f>HYPERLINK("https://parts-sales.ru/parts/MAN/06022024715","06.02202-4715")</f>
        <v>06.02202-4715</v>
      </c>
      <c r="B256" s="12" t="str">
        <f>HYPERLINK("https://parts-sales.ru/parts/MAN/06022024715","6-гранный наборный винт M16X1,5X85-MAN18")</f>
        <v>6-гранный наборный винт M16X1,5X85-MAN18</v>
      </c>
      <c r="C256" s="3" t="s">
        <v>6</v>
      </c>
      <c r="D256" s="4">
        <v>4819.2</v>
      </c>
      <c r="E256" s="4">
        <v>575</v>
      </c>
      <c r="F256" s="8">
        <v>0.88</v>
      </c>
      <c r="H256" s="11"/>
      <c r="I256" s="11"/>
      <c r="J256" s="11"/>
    </row>
    <row r="257" spans="1:10" ht="15.75" x14ac:dyDescent="0.3">
      <c r="A257" s="13" t="str">
        <f>HYPERLINK("https://parts-sales.ru/parts/MAN/06022025009","06.02202-5009")</f>
        <v>06.02202-5009</v>
      </c>
      <c r="B257" s="13" t="str">
        <f>HYPERLINK("https://parts-sales.ru/parts/MAN/06022025009","6-гранный наборный винт M20X2X55-MAN183-")</f>
        <v>6-гранный наборный винт M20X2X55-MAN183-</v>
      </c>
      <c r="C257" s="5" t="s">
        <v>6</v>
      </c>
      <c r="D257" s="6">
        <v>2796</v>
      </c>
      <c r="E257" s="6">
        <v>50</v>
      </c>
      <c r="F257" s="9">
        <v>0.98</v>
      </c>
      <c r="H257" s="11"/>
      <c r="I257" s="11"/>
      <c r="J257" s="11"/>
    </row>
    <row r="258" spans="1:10" ht="15.75" x14ac:dyDescent="0.3">
      <c r="A258" s="12" t="str">
        <f>HYPERLINK("https://parts-sales.ru/parts/MAN/06022025115","06.02202-5115")</f>
        <v>06.02202-5115</v>
      </c>
      <c r="B258" s="12" t="str">
        <f>HYPERLINK("https://parts-sales.ru/parts/MAN/06022025115","6-гранный наборный винт M20X1,5X85-MAN18")</f>
        <v>6-гранный наборный винт M20X1,5X85-MAN18</v>
      </c>
      <c r="C258" s="3" t="s">
        <v>6</v>
      </c>
      <c r="D258" s="4">
        <v>1363.2</v>
      </c>
      <c r="E258" s="4">
        <v>148</v>
      </c>
      <c r="F258" s="8">
        <v>0.89</v>
      </c>
      <c r="H258" s="11"/>
      <c r="I258" s="11"/>
      <c r="J258" s="11"/>
    </row>
    <row r="259" spans="1:10" ht="15.75" x14ac:dyDescent="0.3">
      <c r="A259" s="13" t="str">
        <f>HYPERLINK("https://parts-sales.ru/parts/MAN/06022090008","06.02209-0008")</f>
        <v>06.02209-0008</v>
      </c>
      <c r="B259" s="13" t="str">
        <f>HYPERLINK("https://parts-sales.ru/parts/MAN/06022090008","6-гранный наборный винт M18X2X185-10.9-M")</f>
        <v>6-гранный наборный винт M18X2X185-10.9-M</v>
      </c>
      <c r="C259" s="5" t="s">
        <v>6</v>
      </c>
      <c r="D259" s="6">
        <v>1452</v>
      </c>
      <c r="E259" s="6">
        <v>208</v>
      </c>
      <c r="F259" s="9">
        <v>0.86</v>
      </c>
      <c r="H259" s="11"/>
      <c r="I259" s="11"/>
      <c r="J259" s="11"/>
    </row>
    <row r="260" spans="1:10" ht="15.75" x14ac:dyDescent="0.3">
      <c r="A260" s="12" t="str">
        <f>HYPERLINK("https://parts-sales.ru/parts/MAN/06022290006","06.02229-0006")</f>
        <v>06.02229-0006</v>
      </c>
      <c r="B260" s="12" t="str">
        <f>HYPERLINK("https://parts-sales.ru/parts/MAN/06022290006","Винт с цилиндрической головкой M8X25SC-Z")</f>
        <v>Винт с цилиндрической головкой M8X25SC-Z</v>
      </c>
      <c r="C260" s="3" t="s">
        <v>6</v>
      </c>
      <c r="D260" s="4">
        <v>638.4</v>
      </c>
      <c r="E260" s="4">
        <v>113</v>
      </c>
      <c r="F260" s="8">
        <v>0.82</v>
      </c>
      <c r="H260" s="11"/>
      <c r="I260" s="11"/>
      <c r="J260" s="11"/>
    </row>
    <row r="261" spans="1:10" ht="15.75" x14ac:dyDescent="0.3">
      <c r="A261" s="13" t="str">
        <f>HYPERLINK("https://parts-sales.ru/parts/MAN/06022290011","06.02229-0011")</f>
        <v>06.02229-0011</v>
      </c>
      <c r="B261" s="13" t="str">
        <f>HYPERLINK("https://parts-sales.ru/parts/MAN/06022290011","Винт с плоской головкой M12X70TC-8.8-N14")</f>
        <v>Винт с плоской головкой M12X70TC-8.8-N14</v>
      </c>
      <c r="C261" s="5" t="s">
        <v>6</v>
      </c>
      <c r="D261" s="6">
        <v>2002.8</v>
      </c>
      <c r="E261" s="6">
        <v>400</v>
      </c>
      <c r="F261" s="9">
        <v>0.8</v>
      </c>
      <c r="H261" s="11"/>
      <c r="I261" s="11"/>
      <c r="J261" s="11"/>
    </row>
    <row r="262" spans="1:10" ht="15.75" x14ac:dyDescent="0.3">
      <c r="A262" s="12" t="str">
        <f>HYPERLINK("https://parts-sales.ru/parts/MAN/06022290016","06.02229-0016")</f>
        <v>06.02229-0016</v>
      </c>
      <c r="B262" s="12" t="str">
        <f>HYPERLINK("https://parts-sales.ru/parts/MAN/06022290016","Винт с цилиндрической головкой M8X16-8.8")</f>
        <v>Винт с цилиндрической головкой M8X16-8.8</v>
      </c>
      <c r="C262" s="3" t="s">
        <v>6</v>
      </c>
      <c r="D262" s="4">
        <v>320.39999999999998</v>
      </c>
      <c r="E262" s="4">
        <v>6</v>
      </c>
      <c r="F262" s="8">
        <v>0.98</v>
      </c>
      <c r="H262" s="11"/>
      <c r="I262" s="11"/>
      <c r="J262" s="11"/>
    </row>
    <row r="263" spans="1:10" ht="15.75" x14ac:dyDescent="0.3">
      <c r="A263" s="13" t="str">
        <f>HYPERLINK("https://parts-sales.ru/parts/MAN/06022390002","06.02239-0002")</f>
        <v>06.02239-0002</v>
      </c>
      <c r="B263" s="13" t="str">
        <f>HYPERLINK("https://parts-sales.ru/parts/MAN/06022390002","Винт с потайной головкой M8X25SC-8.8-T40")</f>
        <v>Винт с потайной головкой M8X25SC-8.8-T40</v>
      </c>
      <c r="C263" s="5" t="s">
        <v>6</v>
      </c>
      <c r="D263" s="6">
        <v>374.4</v>
      </c>
      <c r="E263" s="6">
        <v>90</v>
      </c>
      <c r="F263" s="9">
        <v>0.76</v>
      </c>
      <c r="H263" s="11"/>
      <c r="I263" s="11"/>
      <c r="J263" s="11"/>
    </row>
    <row r="264" spans="1:10" ht="15.75" x14ac:dyDescent="0.3">
      <c r="A264" s="12" t="str">
        <f>HYPERLINK("https://parts-sales.ru/parts/MAN/06022451810","06.02245-1810")</f>
        <v>06.02245-1810</v>
      </c>
      <c r="B264" s="12" t="str">
        <f>HYPERLINK("https://parts-sales.ru/parts/MAN/06022451810","Винт с цилиндрической головкой M12X1,5X4")</f>
        <v>Винт с цилиндрической головкой M12X1,5X4</v>
      </c>
      <c r="C264" s="3" t="s">
        <v>6</v>
      </c>
      <c r="D264" s="4">
        <v>1298.4000000000001</v>
      </c>
      <c r="E264" s="4">
        <v>37</v>
      </c>
      <c r="F264" s="8">
        <v>0.97</v>
      </c>
      <c r="H264" s="11"/>
      <c r="I264" s="11"/>
      <c r="J264" s="11"/>
    </row>
    <row r="265" spans="1:10" ht="15.75" x14ac:dyDescent="0.3">
      <c r="A265" s="13" t="str">
        <f>HYPERLINK("https://parts-sales.ru/parts/MAN/06022451816","06.02245-1816")</f>
        <v>06.02245-1816</v>
      </c>
      <c r="B265" s="13" t="str">
        <f>HYPERLINK("https://parts-sales.ru/parts/MAN/06022451816","Винт с цилиндрической головкой M12X1,5X7")</f>
        <v>Винт с цилиндрической головкой M12X1,5X7</v>
      </c>
      <c r="C265" s="5" t="s">
        <v>6</v>
      </c>
      <c r="D265" s="6">
        <v>1609.2</v>
      </c>
      <c r="E265" s="6">
        <v>34</v>
      </c>
      <c r="F265" s="9">
        <v>0.98</v>
      </c>
      <c r="H265" s="11"/>
      <c r="I265" s="11"/>
      <c r="J265" s="11"/>
    </row>
    <row r="266" spans="1:10" ht="15.75" x14ac:dyDescent="0.3">
      <c r="A266" s="12" t="str">
        <f>HYPERLINK("https://parts-sales.ru/parts/MAN/06022490017","06.02249-0017")</f>
        <v>06.02249-0017</v>
      </c>
      <c r="B266" s="12" t="str">
        <f>HYPERLINK("https://parts-sales.ru/parts/MAN/06022490017","Винт с цилиндрической головкой M8X45SC-8")</f>
        <v>Винт с цилиндрической головкой M8X45SC-8</v>
      </c>
      <c r="C266" s="3" t="s">
        <v>6</v>
      </c>
      <c r="D266" s="4">
        <v>788.4</v>
      </c>
      <c r="E266" s="4">
        <v>257</v>
      </c>
      <c r="F266" s="8">
        <v>0.67</v>
      </c>
      <c r="H266" s="11"/>
      <c r="I266" s="11"/>
      <c r="J266" s="11"/>
    </row>
    <row r="267" spans="1:10" ht="15.75" x14ac:dyDescent="0.3">
      <c r="A267" s="13" t="str">
        <f>HYPERLINK("https://parts-sales.ru/parts/MAN/06022490055","06.02249-0055")</f>
        <v>06.02249-0055</v>
      </c>
      <c r="B267" s="13" t="str">
        <f>HYPERLINK("https://parts-sales.ru/parts/MAN/06022490055","Винт с цилиндрической головкой M18X2X50-")</f>
        <v>Винт с цилиндрической головкой M18X2X50-</v>
      </c>
      <c r="C267" s="5" t="s">
        <v>6</v>
      </c>
      <c r="D267" s="6">
        <v>2413.1999999999998</v>
      </c>
      <c r="E267" s="6">
        <v>60</v>
      </c>
      <c r="F267" s="9">
        <v>0.98</v>
      </c>
      <c r="H267" s="11"/>
      <c r="I267" s="11"/>
      <c r="J267" s="11"/>
    </row>
    <row r="268" spans="1:10" ht="15.75" x14ac:dyDescent="0.3">
      <c r="A268" s="12" t="str">
        <f>HYPERLINK("https://parts-sales.ru/parts/MAN/06022530208","06.02253-0208")</f>
        <v>06.02253-0208</v>
      </c>
      <c r="B268" s="12" t="str">
        <f>HYPERLINK("https://parts-sales.ru/parts/MAN/06022530208","Винт с плоской головкой M5X35-8.8-MAN183")</f>
        <v>Винт с плоской головкой M5X35-8.8-MAN183</v>
      </c>
      <c r="C268" s="3" t="s">
        <v>6</v>
      </c>
      <c r="D268" s="4">
        <v>435.6</v>
      </c>
      <c r="E268" s="4">
        <v>6</v>
      </c>
      <c r="F268" s="8">
        <v>0.99</v>
      </c>
      <c r="H268" s="11"/>
      <c r="I268" s="11"/>
      <c r="J268" s="11"/>
    </row>
    <row r="269" spans="1:10" ht="15.75" x14ac:dyDescent="0.3">
      <c r="A269" s="13" t="str">
        <f>HYPERLINK("https://parts-sales.ru/parts/MAN/06022530304","06.02253-0304")</f>
        <v>06.02253-0304</v>
      </c>
      <c r="B269" s="13" t="str">
        <f>HYPERLINK("https://parts-sales.ru/parts/MAN/06022530304","Винт с плоской головкой M6X16-8.8-MAN183")</f>
        <v>Винт с плоской головкой M6X16-8.8-MAN183</v>
      </c>
      <c r="C269" s="5" t="s">
        <v>6</v>
      </c>
      <c r="D269" s="6">
        <v>71.05</v>
      </c>
      <c r="E269" s="6">
        <v>10</v>
      </c>
      <c r="F269" s="9">
        <v>0.86</v>
      </c>
      <c r="H269" s="11"/>
      <c r="I269" s="11"/>
      <c r="J269" s="11"/>
    </row>
    <row r="270" spans="1:10" ht="15.75" x14ac:dyDescent="0.3">
      <c r="A270" s="12" t="str">
        <f>HYPERLINK("https://parts-sales.ru/parts/MAN/06022530305","06.02253-0305")</f>
        <v>06.02253-0305</v>
      </c>
      <c r="B270" s="12" t="str">
        <f>HYPERLINK("https://parts-sales.ru/parts/MAN/06022530305","Винт с плоской головкой M6X20-8.8-MAN183")</f>
        <v>Винт с плоской головкой M6X20-8.8-MAN183</v>
      </c>
      <c r="C270" s="3" t="s">
        <v>6</v>
      </c>
      <c r="D270" s="4">
        <v>82.1</v>
      </c>
      <c r="E270" s="4">
        <v>28</v>
      </c>
      <c r="F270" s="8">
        <v>0.66</v>
      </c>
      <c r="H270" s="11"/>
      <c r="I270" s="11"/>
      <c r="J270" s="11"/>
    </row>
    <row r="271" spans="1:10" ht="15.75" x14ac:dyDescent="0.3">
      <c r="A271" s="13" t="str">
        <f>HYPERLINK("https://parts-sales.ru/parts/MAN/06022530307","06.02253-0307")</f>
        <v>06.02253-0307</v>
      </c>
      <c r="B271" s="13" t="str">
        <f>HYPERLINK("https://parts-sales.ru/parts/MAN/06022530307","Винт с плоской головкой M6X30-8.8-MAN183")</f>
        <v>Винт с плоской головкой M6X30-8.8-MAN183</v>
      </c>
      <c r="C271" s="5" t="s">
        <v>6</v>
      </c>
      <c r="D271" s="6">
        <v>56.4</v>
      </c>
      <c r="E271" s="6">
        <v>11</v>
      </c>
      <c r="F271" s="9">
        <v>0.8</v>
      </c>
      <c r="H271" s="11"/>
      <c r="I271" s="11"/>
      <c r="J271" s="11"/>
    </row>
    <row r="272" spans="1:10" ht="15.75" x14ac:dyDescent="0.3">
      <c r="A272" s="12" t="str">
        <f>HYPERLINK("https://parts-sales.ru/parts/MAN/06022530405","06.02253-0405")</f>
        <v>06.02253-0405</v>
      </c>
      <c r="B272" s="12" t="str">
        <f>HYPERLINK("https://parts-sales.ru/parts/MAN/06022530405","Винт с плоской головкой M8X20-8.8-MAN183")</f>
        <v>Винт с плоской головкой M8X20-8.8-MAN183</v>
      </c>
      <c r="C272" s="3" t="s">
        <v>6</v>
      </c>
      <c r="D272" s="4">
        <v>158.4</v>
      </c>
      <c r="E272" s="4">
        <v>12</v>
      </c>
      <c r="F272" s="8">
        <v>0.92</v>
      </c>
      <c r="H272" s="11"/>
      <c r="I272" s="11"/>
      <c r="J272" s="11"/>
    </row>
    <row r="273" spans="1:10" ht="15.75" x14ac:dyDescent="0.3">
      <c r="A273" s="13" t="str">
        <f>HYPERLINK("https://parts-sales.ru/parts/MAN/06022531206","06.02253-1206")</f>
        <v>06.02253-1206</v>
      </c>
      <c r="B273" s="13" t="str">
        <f>HYPERLINK("https://parts-sales.ru/parts/MAN/06022531206","Винт с плоской головкой M6X25Z1-8.8-MAN1")</f>
        <v>Винт с плоской головкой M6X25Z1-8.8-MAN1</v>
      </c>
      <c r="C273" s="5" t="s">
        <v>6</v>
      </c>
      <c r="D273" s="6">
        <v>216</v>
      </c>
      <c r="E273" s="6">
        <v>11</v>
      </c>
      <c r="F273" s="9">
        <v>0.95</v>
      </c>
      <c r="H273" s="11"/>
      <c r="I273" s="11"/>
      <c r="J273" s="11"/>
    </row>
    <row r="274" spans="1:10" ht="15.75" x14ac:dyDescent="0.3">
      <c r="A274" s="12" t="str">
        <f>HYPERLINK("https://parts-sales.ru/parts/MAN/06022531305","06.02253-1305")</f>
        <v>06.02253-1305</v>
      </c>
      <c r="B274" s="12" t="str">
        <f>HYPERLINK("https://parts-sales.ru/parts/MAN/06022531305","Винт с плоской головкой M8X20Z1-8.8-MAN1")</f>
        <v>Винт с плоской головкой M8X20Z1-8.8-MAN1</v>
      </c>
      <c r="C274" s="3" t="s">
        <v>6</v>
      </c>
      <c r="D274" s="4">
        <v>361.2</v>
      </c>
      <c r="E274" s="4">
        <v>125</v>
      </c>
      <c r="F274" s="8">
        <v>0.65</v>
      </c>
      <c r="H274" s="11"/>
      <c r="I274" s="11"/>
      <c r="J274" s="11"/>
    </row>
    <row r="275" spans="1:10" ht="15.75" x14ac:dyDescent="0.3">
      <c r="A275" s="13" t="str">
        <f>HYPERLINK("https://parts-sales.ru/parts/MAN/06022532010","06.02253-2010")</f>
        <v>06.02253-2010</v>
      </c>
      <c r="B275" s="13" t="str">
        <f>HYPERLINK("https://parts-sales.ru/parts/MAN/06022532010","Винт с плоской головкой M5X45Z2-8.8-MAN1")</f>
        <v>Винт с плоской головкой M5X45Z2-8.8-MAN1</v>
      </c>
      <c r="C275" s="5" t="s">
        <v>6</v>
      </c>
      <c r="D275" s="6">
        <v>548.4</v>
      </c>
      <c r="E275" s="6">
        <v>15</v>
      </c>
      <c r="F275" s="9">
        <v>0.97</v>
      </c>
      <c r="H275" s="11"/>
      <c r="I275" s="11"/>
      <c r="J275" s="11"/>
    </row>
    <row r="276" spans="1:10" ht="15.75" x14ac:dyDescent="0.3">
      <c r="A276" s="12" t="str">
        <f>HYPERLINK("https://parts-sales.ru/parts/MAN/06022533004","06.02253-3004")</f>
        <v>06.02253-3004</v>
      </c>
      <c r="B276" s="12" t="str">
        <f>HYPERLINK("https://parts-sales.ru/parts/MAN/06022533004","Винт с плоской головкой M6X16SC-Z1-8.8-M")</f>
        <v>Винт с плоской головкой M6X16SC-Z1-8.8-M</v>
      </c>
      <c r="C276" s="3" t="s">
        <v>6</v>
      </c>
      <c r="D276" s="4">
        <v>102</v>
      </c>
      <c r="E276" s="4">
        <v>3</v>
      </c>
      <c r="F276" s="8">
        <v>0.97</v>
      </c>
      <c r="H276" s="11"/>
      <c r="I276" s="11"/>
      <c r="J276" s="11"/>
    </row>
    <row r="277" spans="1:10" ht="15.75" x14ac:dyDescent="0.3">
      <c r="A277" s="13" t="str">
        <f>HYPERLINK("https://parts-sales.ru/parts/MAN/06022540302","06.02254-0302")</f>
        <v>06.02254-0302</v>
      </c>
      <c r="B277" s="13" t="str">
        <f>HYPERLINK("https://parts-sales.ru/parts/MAN/06022540302","Винт с плоской головкой M6X10-8.8-MAN183")</f>
        <v>Винт с плоской головкой M6X10-8.8-MAN183</v>
      </c>
      <c r="C277" s="5" t="s">
        <v>6</v>
      </c>
      <c r="D277" s="6">
        <v>638.4</v>
      </c>
      <c r="E277" s="6">
        <v>145</v>
      </c>
      <c r="F277" s="9">
        <v>0.77</v>
      </c>
      <c r="H277" s="11"/>
      <c r="I277" s="11"/>
      <c r="J277" s="11"/>
    </row>
    <row r="278" spans="1:10" ht="15.75" x14ac:dyDescent="0.3">
      <c r="A278" s="12" t="str">
        <f>HYPERLINK("https://parts-sales.ru/parts/MAN/06022540404","06.02254-0404")</f>
        <v>06.02254-0404</v>
      </c>
      <c r="B278" s="12" t="str">
        <f>HYPERLINK("https://parts-sales.ru/parts/MAN/06022540404","Винт с плоской головкой M8X16-8.8-MAN183")</f>
        <v>Винт с плоской головкой M8X16-8.8-MAN183</v>
      </c>
      <c r="C278" s="3" t="s">
        <v>6</v>
      </c>
      <c r="D278" s="4">
        <v>291.60000000000002</v>
      </c>
      <c r="E278" s="4">
        <v>5</v>
      </c>
      <c r="F278" s="8">
        <v>0.98</v>
      </c>
      <c r="H278" s="11"/>
      <c r="I278" s="11"/>
      <c r="J278" s="11"/>
    </row>
    <row r="279" spans="1:10" ht="15.75" x14ac:dyDescent="0.3">
      <c r="A279" s="13" t="str">
        <f>HYPERLINK("https://parts-sales.ru/parts/MAN/06022540408","06.02254-0408")</f>
        <v>06.02254-0408</v>
      </c>
      <c r="B279" s="13" t="str">
        <f>HYPERLINK("https://parts-sales.ru/parts/MAN/06022540408","Винт с плоской головкой M8X35-8.8-MAN183")</f>
        <v>Винт с плоской головкой M8X35-8.8-MAN183</v>
      </c>
      <c r="C279" s="5" t="s">
        <v>6</v>
      </c>
      <c r="D279" s="6">
        <v>393.6</v>
      </c>
      <c r="E279" s="6">
        <v>132</v>
      </c>
      <c r="F279" s="9">
        <v>0.66</v>
      </c>
      <c r="H279" s="11"/>
      <c r="I279" s="11"/>
      <c r="J279" s="11"/>
    </row>
    <row r="280" spans="1:10" ht="15.75" x14ac:dyDescent="0.3">
      <c r="A280" s="12" t="str">
        <f>HYPERLINK("https://parts-sales.ru/parts/MAN/06022540409","06.02254-0409")</f>
        <v>06.02254-0409</v>
      </c>
      <c r="B280" s="12" t="str">
        <f>HYPERLINK("https://parts-sales.ru/parts/MAN/06022540409","Винт с плоской головкой M8X40-8.8-MAN183")</f>
        <v>Винт с плоской головкой M8X40-8.8-MAN183</v>
      </c>
      <c r="C280" s="3" t="s">
        <v>6</v>
      </c>
      <c r="D280" s="4">
        <v>361.2</v>
      </c>
      <c r="E280" s="4">
        <v>67</v>
      </c>
      <c r="F280" s="8">
        <v>0.81</v>
      </c>
      <c r="H280" s="11"/>
      <c r="I280" s="11"/>
      <c r="J280" s="11"/>
    </row>
    <row r="281" spans="1:10" ht="15.75" x14ac:dyDescent="0.3">
      <c r="A281" s="13" t="str">
        <f>HYPERLINK("https://parts-sales.ru/parts/MAN/06022540415","06.02254-0415")</f>
        <v>06.02254-0415</v>
      </c>
      <c r="B281" s="13" t="str">
        <f>HYPERLINK("https://parts-sales.ru/parts/MAN/06022540415","Винт с плоской головкой M8X70-8.8-MAN183")</f>
        <v>Винт с плоской головкой M8X70-8.8-MAN183</v>
      </c>
      <c r="C281" s="5" t="s">
        <v>6</v>
      </c>
      <c r="D281" s="6">
        <v>420</v>
      </c>
      <c r="E281" s="6">
        <v>13</v>
      </c>
      <c r="F281" s="9">
        <v>0.97</v>
      </c>
      <c r="H281" s="11"/>
      <c r="I281" s="11"/>
      <c r="J281" s="11"/>
    </row>
    <row r="282" spans="1:10" ht="15.75" x14ac:dyDescent="0.3">
      <c r="A282" s="12" t="str">
        <f>HYPERLINK("https://parts-sales.ru/parts/MAN/06022540416","06.02254-0416")</f>
        <v>06.02254-0416</v>
      </c>
      <c r="B282" s="12" t="str">
        <f>HYPERLINK("https://parts-sales.ru/parts/MAN/06022540416","Винт с плоской головкой M8X75-8.8-MAN183")</f>
        <v>Винт с плоской головкой M8X75-8.8-MAN183</v>
      </c>
      <c r="C282" s="3" t="s">
        <v>6</v>
      </c>
      <c r="D282" s="4">
        <v>496.8</v>
      </c>
      <c r="E282" s="4">
        <v>14</v>
      </c>
      <c r="F282" s="8">
        <v>0.97</v>
      </c>
      <c r="H282" s="11"/>
      <c r="I282" s="11"/>
      <c r="J282" s="11"/>
    </row>
    <row r="283" spans="1:10" ht="15.75" x14ac:dyDescent="0.3">
      <c r="A283" s="13" t="str">
        <f>HYPERLINK("https://parts-sales.ru/parts/MAN/06022541030","06.02254-1030")</f>
        <v>06.02254-1030</v>
      </c>
      <c r="B283" s="13" t="str">
        <f>HYPERLINK("https://parts-sales.ru/parts/MAN/06022541030","Винт с плоской головкой M4X14Z1-8.8-MAN1")</f>
        <v>Винт с плоской головкой M4X14Z1-8.8-MAN1</v>
      </c>
      <c r="C283" s="5" t="s">
        <v>6</v>
      </c>
      <c r="D283" s="6">
        <v>165.6</v>
      </c>
      <c r="E283" s="6">
        <v>42</v>
      </c>
      <c r="F283" s="9">
        <v>0.75</v>
      </c>
      <c r="H283" s="11"/>
      <c r="I283" s="11"/>
      <c r="J283" s="11"/>
    </row>
    <row r="284" spans="1:10" ht="15.75" x14ac:dyDescent="0.3">
      <c r="A284" s="12" t="str">
        <f>HYPERLINK("https://parts-sales.ru/parts/MAN/06022541203","06.02254-1203")</f>
        <v>06.02254-1203</v>
      </c>
      <c r="B284" s="12" t="str">
        <f>HYPERLINK("https://parts-sales.ru/parts/MAN/06022541203","Винт с плоской головкой M6X12Z1-8.8-MAN1")</f>
        <v>Винт с плоской головкой M6X12Z1-8.8-MAN1</v>
      </c>
      <c r="C284" s="3" t="s">
        <v>6</v>
      </c>
      <c r="D284" s="4">
        <v>198</v>
      </c>
      <c r="E284" s="4">
        <v>11</v>
      </c>
      <c r="F284" s="8">
        <v>0.94</v>
      </c>
      <c r="H284" s="11"/>
      <c r="I284" s="11"/>
      <c r="J284" s="11"/>
    </row>
    <row r="285" spans="1:10" ht="15.75" x14ac:dyDescent="0.3">
      <c r="A285" s="13" t="str">
        <f>HYPERLINK("https://parts-sales.ru/parts/MAN/06022541304","06.02254-1304")</f>
        <v>06.02254-1304</v>
      </c>
      <c r="B285" s="13" t="str">
        <f>HYPERLINK("https://parts-sales.ru/parts/MAN/06022541304","Винт с плоской головкой M8X16Z1-8.8-MAN1")</f>
        <v>Винт с плоской головкой M8X16Z1-8.8-MAN1</v>
      </c>
      <c r="C285" s="5" t="s">
        <v>6</v>
      </c>
      <c r="D285" s="6">
        <v>142.80000000000001</v>
      </c>
      <c r="E285" s="6">
        <v>42</v>
      </c>
      <c r="F285" s="9">
        <v>0.71</v>
      </c>
      <c r="H285" s="11"/>
      <c r="I285" s="11"/>
      <c r="J285" s="11"/>
    </row>
    <row r="286" spans="1:10" ht="15.75" x14ac:dyDescent="0.3">
      <c r="A286" s="12" t="str">
        <f>HYPERLINK("https://parts-sales.ru/parts/MAN/06022541307","06.02254-1307")</f>
        <v>06.02254-1307</v>
      </c>
      <c r="B286" s="12" t="str">
        <f>HYPERLINK("https://parts-sales.ru/parts/MAN/06022541307","Винт с плоской головкой M8X30Z1-8.8-MAN1")</f>
        <v>Винт с плоской головкой M8X30Z1-8.8-MAN1</v>
      </c>
      <c r="C286" s="3" t="s">
        <v>6</v>
      </c>
      <c r="D286" s="4">
        <v>205.2</v>
      </c>
      <c r="E286" s="4">
        <v>2</v>
      </c>
      <c r="F286" s="8">
        <v>0.99</v>
      </c>
      <c r="H286" s="11"/>
      <c r="I286" s="11"/>
      <c r="J286" s="11"/>
    </row>
    <row r="287" spans="1:10" ht="15.75" x14ac:dyDescent="0.3">
      <c r="A287" s="13" t="str">
        <f>HYPERLINK("https://parts-sales.ru/parts/MAN/06022542204","06.02254-2204")</f>
        <v>06.02254-2204</v>
      </c>
      <c r="B287" s="13" t="str">
        <f>HYPERLINK("https://parts-sales.ru/parts/MAN/06022542204","Винт с плоской головкой M8X16Z2-8.8-MAN1")</f>
        <v>Винт с плоской головкой M8X16Z2-8.8-MAN1</v>
      </c>
      <c r="C287" s="5" t="s">
        <v>6</v>
      </c>
      <c r="D287" s="6">
        <v>165.6</v>
      </c>
      <c r="E287" s="6">
        <v>2</v>
      </c>
      <c r="F287" s="9">
        <v>0.99</v>
      </c>
      <c r="H287" s="11"/>
      <c r="I287" s="11"/>
      <c r="J287" s="11"/>
    </row>
    <row r="288" spans="1:10" ht="15.75" x14ac:dyDescent="0.3">
      <c r="A288" s="12" t="str">
        <f>HYPERLINK("https://parts-sales.ru/parts/MAN/06022542208","06.02254-2208")</f>
        <v>06.02254-2208</v>
      </c>
      <c r="B288" s="12" t="str">
        <f>HYPERLINK("https://parts-sales.ru/parts/MAN/06022542208","Винт с плоской головкой M8X35Z2-8.8-MAN1")</f>
        <v>Винт с плоской головкой M8X35Z2-8.8-MAN1</v>
      </c>
      <c r="C288" s="3" t="s">
        <v>6</v>
      </c>
      <c r="D288" s="4">
        <v>433.2</v>
      </c>
      <c r="E288" s="4">
        <v>6</v>
      </c>
      <c r="F288" s="8">
        <v>0.99</v>
      </c>
      <c r="H288" s="11"/>
      <c r="I288" s="11"/>
      <c r="J288" s="11"/>
    </row>
    <row r="289" spans="1:10" ht="15.75" x14ac:dyDescent="0.3">
      <c r="A289" s="13" t="str">
        <f>HYPERLINK("https://parts-sales.ru/parts/MAN/06022543006","06.02254-3006")</f>
        <v>06.02254-3006</v>
      </c>
      <c r="B289" s="13" t="str">
        <f>HYPERLINK("https://parts-sales.ru/parts/MAN/06022543006","Винт с плоской головкой M6X25SC-Z1-8.8-M")</f>
        <v>Винт с плоской головкой M6X25SC-Z1-8.8-M</v>
      </c>
      <c r="C289" s="5" t="s">
        <v>6</v>
      </c>
      <c r="D289" s="6">
        <v>211.2</v>
      </c>
      <c r="E289" s="6">
        <v>64</v>
      </c>
      <c r="F289" s="9">
        <v>0.7</v>
      </c>
      <c r="H289" s="11"/>
      <c r="I289" s="11"/>
      <c r="J289" s="11"/>
    </row>
    <row r="290" spans="1:10" ht="15.75" x14ac:dyDescent="0.3">
      <c r="A290" s="12" t="str">
        <f>HYPERLINK("https://parts-sales.ru/parts/MAN/06022544007","06.02254-4007")</f>
        <v>06.02254-4007</v>
      </c>
      <c r="B290" s="12" t="str">
        <f>HYPERLINK("https://parts-sales.ru/parts/MAN/06022544007","Винт с плоской головкой M8X30SC-Z2-8.8-M")</f>
        <v>Винт с плоской головкой M8X30SC-Z2-8.8-M</v>
      </c>
      <c r="C290" s="3" t="s">
        <v>6</v>
      </c>
      <c r="D290" s="4">
        <v>469.2</v>
      </c>
      <c r="E290" s="4">
        <v>5</v>
      </c>
      <c r="F290" s="8">
        <v>0.99</v>
      </c>
      <c r="H290" s="11"/>
      <c r="I290" s="11"/>
      <c r="J290" s="11"/>
    </row>
    <row r="291" spans="1:10" ht="15.75" x14ac:dyDescent="0.3">
      <c r="A291" s="13" t="str">
        <f>HYPERLINK("https://parts-sales.ru/parts/MAN/06022544911","06.02254-4911")</f>
        <v>06.02254-4911</v>
      </c>
      <c r="B291" s="13" t="str">
        <f>HYPERLINK("https://parts-sales.ru/parts/MAN/06022544911","Винт с плоской головкой M8X50SC-8.8-MAN1")</f>
        <v>Винт с плоской головкой M8X50SC-8.8-MAN1</v>
      </c>
      <c r="C291" s="5" t="s">
        <v>6</v>
      </c>
      <c r="D291" s="6">
        <v>440.4</v>
      </c>
      <c r="E291" s="6">
        <v>61</v>
      </c>
      <c r="F291" s="9">
        <v>0.86</v>
      </c>
      <c r="H291" s="11"/>
      <c r="I291" s="11"/>
      <c r="J291" s="11"/>
    </row>
    <row r="292" spans="1:10" ht="15.75" x14ac:dyDescent="0.3">
      <c r="A292" s="12" t="str">
        <f>HYPERLINK("https://parts-sales.ru/parts/MAN/06022550106","06.02255-0106")</f>
        <v>06.02255-0106</v>
      </c>
      <c r="B292" s="12" t="str">
        <f>HYPERLINK("https://parts-sales.ru/parts/MAN/06022550106","Винт с плоской головкой M4X25-4.8-MAN183")</f>
        <v>Винт с плоской головкой M4X25-4.8-MAN183</v>
      </c>
      <c r="C292" s="3" t="s">
        <v>6</v>
      </c>
      <c r="D292" s="4">
        <v>102</v>
      </c>
      <c r="E292" s="4">
        <v>18</v>
      </c>
      <c r="F292" s="8">
        <v>0.82</v>
      </c>
      <c r="H292" s="11"/>
      <c r="I292" s="11"/>
      <c r="J292" s="11"/>
    </row>
    <row r="293" spans="1:10" ht="15.75" x14ac:dyDescent="0.3">
      <c r="A293" s="13" t="str">
        <f>HYPERLINK("https://parts-sales.ru/parts/MAN/06022550312","06.02255-0312")</f>
        <v>06.02255-0312</v>
      </c>
      <c r="B293" s="13" t="str">
        <f>HYPERLINK("https://parts-sales.ru/parts/MAN/06022550312","Винт с плоской головкой M6X55-4.8-MAN183")</f>
        <v>Винт с плоской головкой M6X55-4.8-MAN183</v>
      </c>
      <c r="C293" s="5" t="s">
        <v>6</v>
      </c>
      <c r="D293" s="6">
        <v>285.60000000000002</v>
      </c>
      <c r="E293" s="6">
        <v>9</v>
      </c>
      <c r="F293" s="9">
        <v>0.97</v>
      </c>
      <c r="H293" s="11"/>
      <c r="I293" s="11"/>
      <c r="J293" s="11"/>
    </row>
    <row r="294" spans="1:10" ht="15.75" x14ac:dyDescent="0.3">
      <c r="A294" s="12" t="str">
        <f>HYPERLINK("https://parts-sales.ru/parts/MAN/06022590001","06.02259-0001")</f>
        <v>06.02259-0001</v>
      </c>
      <c r="B294" s="12" t="str">
        <f>HYPERLINK("https://parts-sales.ru/parts/MAN/06022590001","Болт с буртиком и сферич. гол. M6X80-8.8")</f>
        <v>Болт с буртиком и сферич. гол. M6X80-8.8</v>
      </c>
      <c r="C294" s="3" t="s">
        <v>6</v>
      </c>
      <c r="D294" s="4">
        <v>376.8</v>
      </c>
      <c r="E294" s="4">
        <v>81</v>
      </c>
      <c r="F294" s="8">
        <v>0.79</v>
      </c>
      <c r="H294" s="11"/>
      <c r="I294" s="11"/>
      <c r="J294" s="11"/>
    </row>
    <row r="295" spans="1:10" ht="15.75" x14ac:dyDescent="0.3">
      <c r="A295" s="13" t="str">
        <f>HYPERLINK("https://parts-sales.ru/parts/MAN/06022590010","06.02259-0010")</f>
        <v>06.02259-0010</v>
      </c>
      <c r="B295" s="13" t="str">
        <f>HYPERLINK("https://parts-sales.ru/parts/MAN/06022590010","Винт с плоской головкой M5X18Z1-A2")</f>
        <v>Винт с плоской головкой M5X18Z1-A2</v>
      </c>
      <c r="C295" s="5" t="s">
        <v>6</v>
      </c>
      <c r="D295" s="6">
        <v>291.60000000000002</v>
      </c>
      <c r="E295" s="6">
        <v>14</v>
      </c>
      <c r="F295" s="9">
        <v>0.95</v>
      </c>
      <c r="H295" s="11"/>
      <c r="I295" s="11"/>
      <c r="J295" s="11"/>
    </row>
    <row r="296" spans="1:10" ht="15.75" x14ac:dyDescent="0.3">
      <c r="A296" s="12" t="str">
        <f>HYPERLINK("https://parts-sales.ru/parts/MAN/06022590014","06.02259-0014")</f>
        <v>06.02259-0014</v>
      </c>
      <c r="B296" s="12" t="str">
        <f>HYPERLINK("https://parts-sales.ru/parts/MAN/06022590014","Винт с плоской головкой M6X25SC-Z-8.8-MA")</f>
        <v>Винт с плоской головкой M6X25SC-Z-8.8-MA</v>
      </c>
      <c r="C296" s="3" t="s">
        <v>6</v>
      </c>
      <c r="D296" s="4">
        <v>158.4</v>
      </c>
      <c r="E296" s="4">
        <v>46</v>
      </c>
      <c r="F296" s="8">
        <v>0.71</v>
      </c>
      <c r="H296" s="11"/>
      <c r="I296" s="11"/>
      <c r="J296" s="11"/>
    </row>
    <row r="297" spans="1:10" ht="15.75" x14ac:dyDescent="0.3">
      <c r="A297" s="13" t="str">
        <f>HYPERLINK("https://parts-sales.ru/parts/MAN/06022590017","06.02259-0017")</f>
        <v>06.02259-0017</v>
      </c>
      <c r="B297" s="13" t="str">
        <f>HYPERLINK("https://parts-sales.ru/parts/MAN/06022590017","Винт с плоской головкой M8X30SC-Z1-8.8-Z")</f>
        <v>Винт с плоской головкой M8X30SC-Z1-8.8-Z</v>
      </c>
      <c r="C297" s="5" t="s">
        <v>6</v>
      </c>
      <c r="D297" s="6">
        <v>330</v>
      </c>
      <c r="E297" s="6">
        <v>4</v>
      </c>
      <c r="F297" s="9">
        <v>0.99</v>
      </c>
      <c r="H297" s="11"/>
      <c r="I297" s="11"/>
      <c r="J297" s="11"/>
    </row>
    <row r="298" spans="1:10" ht="15.75" x14ac:dyDescent="0.3">
      <c r="A298" s="12" t="str">
        <f>HYPERLINK("https://parts-sales.ru/parts/MAN/06022590051","06.02259-0051")</f>
        <v>06.02259-0051</v>
      </c>
      <c r="B298" s="12" t="str">
        <f>HYPERLINK("https://parts-sales.ru/parts/MAN/06022590051","Винт с плоской головкой M6X16SC-Z1-A2-70")</f>
        <v>Винт с плоской головкой M6X16SC-Z1-A2-70</v>
      </c>
      <c r="C298" s="3" t="s">
        <v>6</v>
      </c>
      <c r="D298" s="4">
        <v>250.8</v>
      </c>
      <c r="E298" s="4">
        <v>49</v>
      </c>
      <c r="F298" s="8">
        <v>0.8</v>
      </c>
      <c r="H298" s="11"/>
      <c r="I298" s="11"/>
      <c r="J298" s="11"/>
    </row>
    <row r="299" spans="1:10" ht="15.75" x14ac:dyDescent="0.3">
      <c r="A299" s="13" t="str">
        <f>HYPERLINK("https://parts-sales.ru/parts/MAN/06022590052","06.02259-0052")</f>
        <v>06.02259-0052</v>
      </c>
      <c r="B299" s="13" t="str">
        <f>HYPERLINK("https://parts-sales.ru/parts/MAN/06022590052","Винт с плоской головкой M6X16-A2-70-T30")</f>
        <v>Винт с плоской головкой M6X16-A2-70-T30</v>
      </c>
      <c r="C299" s="5" t="s">
        <v>6</v>
      </c>
      <c r="D299" s="6">
        <v>176.4</v>
      </c>
      <c r="E299" s="6">
        <v>53</v>
      </c>
      <c r="F299" s="9">
        <v>0.7</v>
      </c>
      <c r="H299" s="11"/>
      <c r="I299" s="11"/>
      <c r="J299" s="11"/>
    </row>
    <row r="300" spans="1:10" ht="15.75" x14ac:dyDescent="0.3">
      <c r="A300" s="12" t="str">
        <f>HYPERLINK("https://parts-sales.ru/parts/MAN/06022590058","06.02259-0058")</f>
        <v>06.02259-0058</v>
      </c>
      <c r="B300" s="12" t="str">
        <f>HYPERLINK("https://parts-sales.ru/parts/MAN/06022590058","Винт с плоской головкой M8X26Z1-8.8-MAN1")</f>
        <v>Винт с плоской головкой M8X26Z1-8.8-MAN1</v>
      </c>
      <c r="C300" s="3" t="s">
        <v>6</v>
      </c>
      <c r="D300" s="4">
        <v>229.2</v>
      </c>
      <c r="E300" s="4">
        <v>87</v>
      </c>
      <c r="F300" s="8">
        <v>0.62</v>
      </c>
      <c r="H300" s="11"/>
      <c r="I300" s="11"/>
      <c r="J300" s="11"/>
    </row>
    <row r="301" spans="1:10" ht="15.75" x14ac:dyDescent="0.3">
      <c r="A301" s="13" t="str">
        <f>HYPERLINK("https://parts-sales.ru/parts/MAN/06022590072","06.02259-0072")</f>
        <v>06.02259-0072</v>
      </c>
      <c r="B301" s="13" t="str">
        <f>HYPERLINK("https://parts-sales.ru/parts/MAN/06022590072","Винт с плоской головкой M6X20")</f>
        <v>Винт с плоской головкой M6X20</v>
      </c>
      <c r="C301" s="5" t="s">
        <v>6</v>
      </c>
      <c r="D301" s="6">
        <v>50.4</v>
      </c>
      <c r="E301" s="6">
        <v>8</v>
      </c>
      <c r="F301" s="9">
        <v>0.84</v>
      </c>
      <c r="H301" s="11"/>
      <c r="I301" s="11"/>
      <c r="J301" s="11"/>
    </row>
    <row r="302" spans="1:10" ht="15.75" x14ac:dyDescent="0.3">
      <c r="A302" s="12" t="str">
        <f>HYPERLINK("https://parts-sales.ru/parts/MAN/06022590105","06.02259-0105")</f>
        <v>06.02259-0105</v>
      </c>
      <c r="B302" s="12" t="str">
        <f>HYPERLINK("https://parts-sales.ru/parts/MAN/06022590105","Винт с плоской головкой M6X20-8.8-T30-MA")</f>
        <v>Винт с плоской головкой M6X20-8.8-T30-MA</v>
      </c>
      <c r="C302" s="3" t="s">
        <v>6</v>
      </c>
      <c r="D302" s="4">
        <v>134.4</v>
      </c>
      <c r="E302" s="4">
        <v>8</v>
      </c>
      <c r="F302" s="8">
        <v>0.94</v>
      </c>
      <c r="H302" s="11"/>
      <c r="I302" s="11"/>
      <c r="J302" s="11"/>
    </row>
    <row r="303" spans="1:10" ht="15.75" x14ac:dyDescent="0.3">
      <c r="A303" s="13" t="str">
        <f>HYPERLINK("https://parts-sales.ru/parts/MAN/06022590106","06.02259-0106")</f>
        <v>06.02259-0106</v>
      </c>
      <c r="B303" s="13" t="str">
        <f>HYPERLINK("https://parts-sales.ru/parts/MAN/06022590106","Винт с плоской головкой M6X33-10.9-T30-M")</f>
        <v>Винт с плоской головкой M6X33-10.9-T30-M</v>
      </c>
      <c r="C303" s="5" t="s">
        <v>6</v>
      </c>
      <c r="D303" s="6">
        <v>79.2</v>
      </c>
      <c r="E303" s="6">
        <v>8</v>
      </c>
      <c r="F303" s="9">
        <v>0.9</v>
      </c>
      <c r="H303" s="11"/>
      <c r="I303" s="11"/>
      <c r="J303" s="11"/>
    </row>
    <row r="304" spans="1:10" ht="15.75" x14ac:dyDescent="0.3">
      <c r="A304" s="12" t="str">
        <f>HYPERLINK("https://parts-sales.ru/parts/MAN/06022590121","06.02259-0121")</f>
        <v>06.02259-0121</v>
      </c>
      <c r="B304" s="12" t="str">
        <f>HYPERLINK("https://parts-sales.ru/parts/MAN/06022590121","Винт с плоской головкой M8X20-MK12-8.8-M")</f>
        <v>Винт с плоской головкой M8X20-MK12-8.8-M</v>
      </c>
      <c r="C304" s="3" t="s">
        <v>6</v>
      </c>
      <c r="D304" s="4">
        <v>313.2</v>
      </c>
      <c r="E304" s="4">
        <v>3</v>
      </c>
      <c r="F304" s="8">
        <v>0.99</v>
      </c>
      <c r="H304" s="11"/>
      <c r="I304" s="11"/>
      <c r="J304" s="11"/>
    </row>
    <row r="305" spans="1:10" ht="15.75" x14ac:dyDescent="0.3">
      <c r="A305" s="13" t="str">
        <f>HYPERLINK("https://parts-sales.ru/parts/MAN/06028121415","06.02812-1415")</f>
        <v>06.02812-1415</v>
      </c>
      <c r="B305" s="13" t="str">
        <f>HYPERLINK("https://parts-sales.ru/parts/MAN/06028121415","Стопорный винт с 6-гран. гол. M18X1,5X50")</f>
        <v>Стопорный винт с 6-гран. гол. M18X1,5X50</v>
      </c>
      <c r="C305" s="5" t="s">
        <v>6</v>
      </c>
      <c r="D305" s="6">
        <v>1860</v>
      </c>
      <c r="E305" s="6">
        <v>437</v>
      </c>
      <c r="F305" s="9">
        <v>0.77</v>
      </c>
      <c r="H305" s="11"/>
      <c r="I305" s="11"/>
      <c r="J305" s="11"/>
    </row>
    <row r="306" spans="1:10" ht="15.75" x14ac:dyDescent="0.3">
      <c r="A306" s="12" t="str">
        <f>HYPERLINK("https://parts-sales.ru/parts/MAN/06028124511","06.02812-4511")</f>
        <v>06.02812-4511</v>
      </c>
      <c r="B306" s="12" t="str">
        <f>HYPERLINK("https://parts-sales.ru/parts/MAN/06028124511","Стопорный винт с 6-гран. гол. M12X30-12.")</f>
        <v>Стопорный винт с 6-гран. гол. M12X30-12.</v>
      </c>
      <c r="C306" s="3" t="s">
        <v>6</v>
      </c>
      <c r="D306" s="4">
        <v>668.4</v>
      </c>
      <c r="E306" s="4">
        <v>132</v>
      </c>
      <c r="F306" s="8">
        <v>0.8</v>
      </c>
      <c r="H306" s="11"/>
      <c r="I306" s="11"/>
      <c r="J306" s="11"/>
    </row>
    <row r="307" spans="1:10" ht="15.75" x14ac:dyDescent="0.3">
      <c r="A307" s="13" t="str">
        <f>HYPERLINK("https://parts-sales.ru/parts/MAN/06028124621","06.02812-4621")</f>
        <v>06.02812-4621</v>
      </c>
      <c r="B307" s="13" t="str">
        <f>HYPERLINK("https://parts-sales.ru/parts/MAN/06028124621","Стопорный винт с 6-гран. гол. M14X80-12.")</f>
        <v>Стопорный винт с 6-гран. гол. M14X80-12.</v>
      </c>
      <c r="C307" s="5" t="s">
        <v>6</v>
      </c>
      <c r="D307" s="6">
        <v>1527.6</v>
      </c>
      <c r="E307" s="6">
        <v>117</v>
      </c>
      <c r="F307" s="9">
        <v>0.92</v>
      </c>
      <c r="H307" s="11"/>
      <c r="I307" s="11"/>
      <c r="J307" s="11"/>
    </row>
    <row r="308" spans="1:10" ht="15.75" x14ac:dyDescent="0.3">
      <c r="A308" s="12" t="str">
        <f>HYPERLINK("https://parts-sales.ru/parts/MAN/06028124628","06.02812-4628")</f>
        <v>06.02812-4628</v>
      </c>
      <c r="B308" s="12" t="str">
        <f>HYPERLINK("https://parts-sales.ru/parts/MAN/06028124628","Стопорный винт с 6-гран. гол. M14X120-12")</f>
        <v>Стопорный винт с 6-гран. гол. M14X120-12</v>
      </c>
      <c r="C308" s="3" t="s">
        <v>6</v>
      </c>
      <c r="D308" s="4">
        <v>2214</v>
      </c>
      <c r="E308" s="4">
        <v>404</v>
      </c>
      <c r="F308" s="8">
        <v>0.82</v>
      </c>
      <c r="H308" s="11"/>
      <c r="I308" s="11"/>
      <c r="J308" s="11"/>
    </row>
    <row r="309" spans="1:10" ht="15.75" x14ac:dyDescent="0.3">
      <c r="A309" s="13" t="str">
        <f>HYPERLINK("https://parts-sales.ru/parts/MAN/06028134204","06.02813-4204")</f>
        <v>06.02813-4204</v>
      </c>
      <c r="B309" s="13" t="str">
        <f>HYPERLINK("https://parts-sales.ru/parts/MAN/06028134204","Стопорный винт с 6-гран. гол. M6X12-10.9")</f>
        <v>Стопорный винт с 6-гран. гол. M6X12-10.9</v>
      </c>
      <c r="C309" s="5" t="s">
        <v>6</v>
      </c>
      <c r="D309" s="6">
        <v>268.8</v>
      </c>
      <c r="E309" s="6">
        <v>49</v>
      </c>
      <c r="F309" s="9">
        <v>0.82</v>
      </c>
      <c r="H309" s="11"/>
      <c r="I309" s="11"/>
      <c r="J309" s="11"/>
    </row>
    <row r="310" spans="1:10" ht="15.75" x14ac:dyDescent="0.3">
      <c r="A310" s="12" t="str">
        <f>HYPERLINK("https://parts-sales.ru/parts/MAN/06028134206","06.02813-4206")</f>
        <v>06.02813-4206</v>
      </c>
      <c r="B310" s="12" t="str">
        <f>HYPERLINK("https://parts-sales.ru/parts/MAN/06028134206","Стопорный винт с 6-гран. гол. M6X16-10.9")</f>
        <v>Стопорный винт с 6-гран. гол. M6X16-10.9</v>
      </c>
      <c r="C310" s="3" t="s">
        <v>6</v>
      </c>
      <c r="D310" s="4">
        <v>290.39999999999998</v>
      </c>
      <c r="E310" s="4">
        <v>4</v>
      </c>
      <c r="F310" s="8">
        <v>0.99</v>
      </c>
      <c r="H310" s="11"/>
      <c r="I310" s="11"/>
      <c r="J310" s="11"/>
    </row>
    <row r="311" spans="1:10" ht="15.75" x14ac:dyDescent="0.3">
      <c r="A311" s="13" t="str">
        <f>HYPERLINK("https://parts-sales.ru/parts/MAN/06028134208","06.02813-4208")</f>
        <v>06.02813-4208</v>
      </c>
      <c r="B311" s="13" t="str">
        <f>HYPERLINK("https://parts-sales.ru/parts/MAN/06028134208","Стопорный винт с 6-гран. гол. M6X20-10.9")</f>
        <v>Стопорный винт с 6-гран. гол. M6X20-10.9</v>
      </c>
      <c r="C311" s="5" t="s">
        <v>6</v>
      </c>
      <c r="D311" s="6">
        <v>326.39999999999998</v>
      </c>
      <c r="E311" s="6">
        <v>67</v>
      </c>
      <c r="F311" s="9">
        <v>0.79</v>
      </c>
      <c r="H311" s="11"/>
      <c r="I311" s="11"/>
      <c r="J311" s="11"/>
    </row>
    <row r="312" spans="1:10" ht="15.75" x14ac:dyDescent="0.3">
      <c r="A312" s="12" t="str">
        <f>HYPERLINK("https://parts-sales.ru/parts/MAN/06028134306","06.02813-4306")</f>
        <v>06.02813-4306</v>
      </c>
      <c r="B312" s="12" t="str">
        <f>HYPERLINK("https://parts-sales.ru/parts/MAN/06028134306","Стопорный винт с 6-гран. гол. M8X16-10.9")</f>
        <v>Стопорный винт с 6-гран. гол. M8X16-10.9</v>
      </c>
      <c r="C312" s="3" t="s">
        <v>6</v>
      </c>
      <c r="D312" s="4">
        <v>616.79999999999995</v>
      </c>
      <c r="E312" s="4">
        <v>39</v>
      </c>
      <c r="F312" s="8">
        <v>0.94</v>
      </c>
      <c r="H312" s="11"/>
      <c r="I312" s="11"/>
      <c r="J312" s="11"/>
    </row>
    <row r="313" spans="1:10" ht="15.75" x14ac:dyDescent="0.3">
      <c r="A313" s="13" t="str">
        <f>HYPERLINK("https://parts-sales.ru/parts/MAN/06028134307","06.02813-4307")</f>
        <v>06.02813-4307</v>
      </c>
      <c r="B313" s="13" t="str">
        <f>HYPERLINK("https://parts-sales.ru/parts/MAN/06028134307","Стопорный винт с 6-гран. гол. M8X18-10.9")</f>
        <v>Стопорный винт с 6-гран. гол. M8X18-10.9</v>
      </c>
      <c r="C313" s="5" t="s">
        <v>6</v>
      </c>
      <c r="D313" s="6">
        <v>638.4</v>
      </c>
      <c r="E313" s="6">
        <v>10</v>
      </c>
      <c r="F313" s="9">
        <v>0.98</v>
      </c>
      <c r="H313" s="11"/>
      <c r="I313" s="11"/>
      <c r="J313" s="11"/>
    </row>
    <row r="314" spans="1:10" ht="15.75" x14ac:dyDescent="0.3">
      <c r="A314" s="12" t="str">
        <f>HYPERLINK("https://parts-sales.ru/parts/MAN/06028134309","06.02813-4309")</f>
        <v>06.02813-4309</v>
      </c>
      <c r="B314" s="12" t="str">
        <f>HYPERLINK("https://parts-sales.ru/parts/MAN/06028134309","Стопорный винт с 6-гран. гол. M8X22-10.9")</f>
        <v>Стопорный винт с 6-гран. гол. M8X22-10.9</v>
      </c>
      <c r="C314" s="3" t="s">
        <v>6</v>
      </c>
      <c r="D314" s="4">
        <v>744</v>
      </c>
      <c r="E314" s="4">
        <v>90</v>
      </c>
      <c r="F314" s="8">
        <v>0.88</v>
      </c>
      <c r="H314" s="11"/>
      <c r="I314" s="11"/>
      <c r="J314" s="11"/>
    </row>
    <row r="315" spans="1:10" ht="15.75" x14ac:dyDescent="0.3">
      <c r="A315" s="13" t="str">
        <f>HYPERLINK("https://parts-sales.ru/parts/MAN/06028134310","06.02813-4310")</f>
        <v>06.02813-4310</v>
      </c>
      <c r="B315" s="13" t="str">
        <f>HYPERLINK("https://parts-sales.ru/parts/MAN/06028134310","Стопорный винт с 6-гран. гол. M8X25-10.9")</f>
        <v>Стопорный винт с 6-гран. гол. M8X25-10.9</v>
      </c>
      <c r="C315" s="5" t="s">
        <v>6</v>
      </c>
      <c r="D315" s="6">
        <v>271.2</v>
      </c>
      <c r="E315" s="6">
        <v>8</v>
      </c>
      <c r="F315" s="9">
        <v>0.97</v>
      </c>
      <c r="H315" s="11"/>
      <c r="I315" s="11"/>
      <c r="J315" s="11"/>
    </row>
    <row r="316" spans="1:10" ht="15.75" x14ac:dyDescent="0.3">
      <c r="A316" s="12" t="str">
        <f>HYPERLINK("https://parts-sales.ru/parts/MAN/06028134311","06.02813-4311")</f>
        <v>06.02813-4311</v>
      </c>
      <c r="B316" s="12" t="str">
        <f>HYPERLINK("https://parts-sales.ru/parts/MAN/06028134311","Стопорный винт с 6-гран. гол. M8X30-10.9")</f>
        <v>Стопорный винт с 6-гран. гол. M8X30-10.9</v>
      </c>
      <c r="C316" s="3" t="s">
        <v>6</v>
      </c>
      <c r="D316" s="4">
        <v>818.4</v>
      </c>
      <c r="E316" s="4">
        <v>210</v>
      </c>
      <c r="F316" s="8">
        <v>0.74</v>
      </c>
      <c r="H316" s="11"/>
      <c r="I316" s="11"/>
      <c r="J316" s="11"/>
    </row>
    <row r="317" spans="1:10" ht="15.75" x14ac:dyDescent="0.3">
      <c r="A317" s="13" t="str">
        <f>HYPERLINK("https://parts-sales.ru/parts/MAN/06028134408","06.02813-4408")</f>
        <v>06.02813-4408</v>
      </c>
      <c r="B317" s="13" t="str">
        <f>HYPERLINK("https://parts-sales.ru/parts/MAN/06028134408","Стопорный винт с 6-гран. гол. M10X20-10.")</f>
        <v>Стопорный винт с 6-гран. гол. M10X20-10.</v>
      </c>
      <c r="C317" s="5" t="s">
        <v>6</v>
      </c>
      <c r="D317" s="6">
        <v>326.39999999999998</v>
      </c>
      <c r="E317" s="6">
        <v>16</v>
      </c>
      <c r="F317" s="9">
        <v>0.95</v>
      </c>
      <c r="H317" s="11"/>
      <c r="I317" s="11"/>
      <c r="J317" s="11"/>
    </row>
    <row r="318" spans="1:10" ht="15.75" x14ac:dyDescent="0.3">
      <c r="A318" s="12" t="str">
        <f>HYPERLINK("https://parts-sales.ru/parts/MAN/06028134512","06.02813-4512")</f>
        <v>06.02813-4512</v>
      </c>
      <c r="B318" s="12" t="str">
        <f>HYPERLINK("https://parts-sales.ru/parts/MAN/06028134512","Стопорный винт с 6-гран. гол. M12X35-10.")</f>
        <v>Стопорный винт с 6-гран. гол. M12X35-10.</v>
      </c>
      <c r="C318" s="3" t="s">
        <v>6</v>
      </c>
      <c r="D318" s="4">
        <v>691.2</v>
      </c>
      <c r="E318" s="4">
        <v>143</v>
      </c>
      <c r="F318" s="8">
        <v>0.79</v>
      </c>
      <c r="H318" s="11"/>
      <c r="I318" s="11"/>
      <c r="J318" s="11"/>
    </row>
    <row r="319" spans="1:10" ht="15.75" x14ac:dyDescent="0.3">
      <c r="A319" s="13" t="str">
        <f>HYPERLINK("https://parts-sales.ru/parts/MAN/06028134807","06.02813-4807")</f>
        <v>06.02813-4807</v>
      </c>
      <c r="B319" s="13" t="str">
        <f>HYPERLINK("https://parts-sales.ru/parts/MAN/06028134807","Стопорный винт с 6-гран. гол. M12X1,5X18")</f>
        <v>Стопорный винт с 6-гран. гол. M12X1,5X18</v>
      </c>
      <c r="C319" s="5" t="s">
        <v>6</v>
      </c>
      <c r="D319" s="6">
        <v>525.6</v>
      </c>
      <c r="E319" s="6">
        <v>100</v>
      </c>
      <c r="F319" s="9">
        <v>0.81</v>
      </c>
      <c r="H319" s="11"/>
      <c r="I319" s="11"/>
      <c r="J319" s="11"/>
    </row>
    <row r="320" spans="1:10" ht="15.75" x14ac:dyDescent="0.3">
      <c r="A320" s="12" t="str">
        <f>HYPERLINK("https://parts-sales.ru/parts/MAN/06028134811","06.02813-4811")</f>
        <v>06.02813-4811</v>
      </c>
      <c r="B320" s="12" t="str">
        <f>HYPERLINK("https://parts-sales.ru/parts/MAN/06028134811","Стопорный винт с 6-гран. гол. M12X1,5X30")</f>
        <v>Стопорный винт с 6-гран. гол. M12X1,5X30</v>
      </c>
      <c r="C320" s="3" t="s">
        <v>6</v>
      </c>
      <c r="D320" s="4">
        <v>564</v>
      </c>
      <c r="E320" s="4">
        <v>209</v>
      </c>
      <c r="F320" s="8">
        <v>0.63</v>
      </c>
      <c r="H320" s="11"/>
      <c r="I320" s="11"/>
      <c r="J320" s="11"/>
    </row>
    <row r="321" spans="1:10" ht="15.75" x14ac:dyDescent="0.3">
      <c r="A321" s="13" t="str">
        <f>HYPERLINK("https://parts-sales.ru/parts/MAN/06028134812","06.02813-4812")</f>
        <v>06.02813-4812</v>
      </c>
      <c r="B321" s="13" t="str">
        <f>HYPERLINK("https://parts-sales.ru/parts/MAN/06028134812","Стопорный винт с 6-гран. гол. M12X1,5X35")</f>
        <v>Стопорный винт с 6-гран. гол. M12X1,5X35</v>
      </c>
      <c r="C321" s="5" t="s">
        <v>6</v>
      </c>
      <c r="D321" s="6">
        <v>105.6</v>
      </c>
      <c r="E321" s="6">
        <v>34</v>
      </c>
      <c r="F321" s="9">
        <v>0.68</v>
      </c>
      <c r="H321" s="11"/>
      <c r="I321" s="11"/>
      <c r="J321" s="11"/>
    </row>
    <row r="322" spans="1:10" ht="15.75" x14ac:dyDescent="0.3">
      <c r="A322" s="12" t="str">
        <f>HYPERLINK("https://parts-sales.ru/parts/MAN/06028134813","06.02813-4813")</f>
        <v>06.02813-4813</v>
      </c>
      <c r="B322" s="12" t="str">
        <f>HYPERLINK("https://parts-sales.ru/parts/MAN/06028134813","Стопорный винт с 6-гран. гол. M12X1,5X40")</f>
        <v>Стопорный винт с 6-гран. гол. M12X1,5X40</v>
      </c>
      <c r="C322" s="3" t="s">
        <v>6</v>
      </c>
      <c r="D322" s="4">
        <v>462.64</v>
      </c>
      <c r="E322" s="4">
        <v>234</v>
      </c>
      <c r="F322" s="8">
        <v>0.49</v>
      </c>
      <c r="H322" s="11"/>
      <c r="I322" s="11"/>
      <c r="J322" s="11"/>
    </row>
    <row r="323" spans="1:10" ht="15.75" x14ac:dyDescent="0.3">
      <c r="A323" s="13" t="str">
        <f>HYPERLINK("https://parts-sales.ru/parts/MAN/06028134819","06.02813-4819")</f>
        <v>06.02813-4819</v>
      </c>
      <c r="B323" s="13" t="str">
        <f>HYPERLINK("https://parts-sales.ru/parts/MAN/06028134819","Стопорный винт с 6-гран. гол. M12X1,5X70")</f>
        <v>Стопорный винт с 6-гран. гол. M12X1,5X70</v>
      </c>
      <c r="C323" s="5" t="s">
        <v>6</v>
      </c>
      <c r="D323" s="6">
        <v>583.20000000000005</v>
      </c>
      <c r="E323" s="6">
        <v>199</v>
      </c>
      <c r="F323" s="9">
        <v>0.66</v>
      </c>
      <c r="H323" s="11"/>
      <c r="I323" s="11"/>
      <c r="J323" s="11"/>
    </row>
    <row r="324" spans="1:10" ht="15.75" x14ac:dyDescent="0.3">
      <c r="A324" s="12" t="str">
        <f>HYPERLINK("https://parts-sales.ru/parts/MAN/06028134826","06.02813-4826")</f>
        <v>06.02813-4826</v>
      </c>
      <c r="B324" s="12" t="str">
        <f>HYPERLINK("https://parts-sales.ru/parts/MAN/06028134826","Стопорный винт с 6-гран. гол. M12X1,5X10")</f>
        <v>Стопорный винт с 6-гран. гол. M12X1,5X10</v>
      </c>
      <c r="C324" s="3" t="s">
        <v>6</v>
      </c>
      <c r="D324" s="4">
        <v>638.4</v>
      </c>
      <c r="E324" s="4">
        <v>53</v>
      </c>
      <c r="F324" s="8">
        <v>0.92</v>
      </c>
      <c r="H324" s="11"/>
      <c r="I324" s="11"/>
      <c r="J324" s="11"/>
    </row>
    <row r="325" spans="1:10" ht="15.75" x14ac:dyDescent="0.3">
      <c r="A325" s="13" t="str">
        <f>HYPERLINK("https://parts-sales.ru/parts/MAN/06028134908","06.02813-4908")</f>
        <v>06.02813-4908</v>
      </c>
      <c r="B325" s="13" t="str">
        <f>HYPERLINK("https://parts-sales.ru/parts/MAN/06028134908","Стопорный винт с 6-гран. гол. M14X1,5X20")</f>
        <v>Стопорный винт с 6-гран. гол. M14X1,5X20</v>
      </c>
      <c r="C325" s="5" t="s">
        <v>6</v>
      </c>
      <c r="D325" s="6">
        <v>678</v>
      </c>
      <c r="E325" s="6">
        <v>110</v>
      </c>
      <c r="F325" s="9">
        <v>0.84</v>
      </c>
      <c r="H325" s="11"/>
      <c r="I325" s="11"/>
      <c r="J325" s="11"/>
    </row>
    <row r="326" spans="1:10" ht="15.75" x14ac:dyDescent="0.3">
      <c r="A326" s="12" t="str">
        <f>HYPERLINK("https://parts-sales.ru/parts/MAN/06028134910","06.02813-4910")</f>
        <v>06.02813-4910</v>
      </c>
      <c r="B326" s="12" t="str">
        <f>HYPERLINK("https://parts-sales.ru/parts/MAN/06028134910","Стопорный винт с 6-гран. гол. M14X1,5X25")</f>
        <v>Стопорный винт с 6-гран. гол. M14X1,5X25</v>
      </c>
      <c r="C326" s="3" t="s">
        <v>6</v>
      </c>
      <c r="D326" s="4">
        <v>612</v>
      </c>
      <c r="E326" s="4">
        <v>41</v>
      </c>
      <c r="F326" s="8">
        <v>0.93</v>
      </c>
      <c r="H326" s="11"/>
      <c r="I326" s="11"/>
      <c r="J326" s="11"/>
    </row>
    <row r="327" spans="1:10" ht="15.75" x14ac:dyDescent="0.3">
      <c r="A327" s="13" t="str">
        <f>HYPERLINK("https://parts-sales.ru/parts/MAN/06028134911","06.02813-4911")</f>
        <v>06.02813-4911</v>
      </c>
      <c r="B327" s="13" t="str">
        <f>HYPERLINK("https://parts-sales.ru/parts/MAN/06028134911","Стопорный винт с 6-гран. гол. M14X1,5X30")</f>
        <v>Стопорный винт с 6-гран. гол. M14X1,5X30</v>
      </c>
      <c r="C327" s="5" t="s">
        <v>6</v>
      </c>
      <c r="D327" s="6">
        <v>52.8</v>
      </c>
      <c r="E327" s="6">
        <v>22</v>
      </c>
      <c r="F327" s="9">
        <v>0.57999999999999996</v>
      </c>
      <c r="H327" s="11"/>
      <c r="I327" s="11"/>
      <c r="J327" s="11"/>
    </row>
    <row r="328" spans="1:10" ht="15.75" x14ac:dyDescent="0.3">
      <c r="A328" s="12" t="str">
        <f>HYPERLINK("https://parts-sales.ru/parts/MAN/06028134913","06.02813-4913")</f>
        <v>06.02813-4913</v>
      </c>
      <c r="B328" s="12" t="str">
        <f>HYPERLINK("https://parts-sales.ru/parts/MAN/06028134913","Стопорный винт с 6-гран. гол. M14X1,5X40")</f>
        <v>Стопорный винт с 6-гран. гол. M14X1,5X40</v>
      </c>
      <c r="C328" s="3" t="s">
        <v>6</v>
      </c>
      <c r="D328" s="4">
        <v>593.69000000000005</v>
      </c>
      <c r="E328" s="4">
        <v>295</v>
      </c>
      <c r="F328" s="8">
        <v>0.5</v>
      </c>
      <c r="H328" s="11"/>
      <c r="I328" s="11"/>
      <c r="J328" s="11"/>
    </row>
    <row r="329" spans="1:10" ht="15.75" x14ac:dyDescent="0.3">
      <c r="A329" s="13" t="str">
        <f>HYPERLINK("https://parts-sales.ru/parts/MAN/06028134918","06.02813-4918")</f>
        <v>06.02813-4918</v>
      </c>
      <c r="B329" s="13" t="str">
        <f>HYPERLINK("https://parts-sales.ru/parts/MAN/06028134918","Стопорный винт с 6-гран. гол. M14X1,5X65")</f>
        <v>Стопорный винт с 6-гран. гол. M14X1,5X65</v>
      </c>
      <c r="C329" s="5" t="s">
        <v>6</v>
      </c>
      <c r="D329" s="6">
        <v>888</v>
      </c>
      <c r="E329" s="6">
        <v>119</v>
      </c>
      <c r="F329" s="9">
        <v>0.87</v>
      </c>
      <c r="H329" s="11"/>
      <c r="I329" s="11"/>
      <c r="J329" s="11"/>
    </row>
    <row r="330" spans="1:10" ht="15.75" x14ac:dyDescent="0.3">
      <c r="A330" s="12" t="str">
        <f>HYPERLINK("https://parts-sales.ru/parts/MAN/06028134921","06.02813-4921")</f>
        <v>06.02813-4921</v>
      </c>
      <c r="B330" s="12" t="str">
        <f>HYPERLINK("https://parts-sales.ru/parts/MAN/06028134921","Стопорный винт с 6-гран. гол. M14X1,5X80")</f>
        <v>Стопорный винт с 6-гран. гол. M14X1,5X80</v>
      </c>
      <c r="C330" s="3" t="s">
        <v>6</v>
      </c>
      <c r="D330" s="4">
        <v>848.4</v>
      </c>
      <c r="E330" s="4">
        <v>352</v>
      </c>
      <c r="F330" s="8">
        <v>0.59</v>
      </c>
      <c r="H330" s="11"/>
      <c r="I330" s="11"/>
      <c r="J330" s="11"/>
    </row>
    <row r="331" spans="1:10" ht="15.75" x14ac:dyDescent="0.3">
      <c r="A331" s="13" t="str">
        <f>HYPERLINK("https://parts-sales.ru/parts/MAN/06028134923","06.02813-4923")</f>
        <v>06.02813-4923</v>
      </c>
      <c r="B331" s="13" t="str">
        <f>HYPERLINK("https://parts-sales.ru/parts/MAN/06028134923","Стопорный винт с 6-гран. гол. M14X1,5X90")</f>
        <v>Стопорный винт с 6-гран. гол. M14X1,5X90</v>
      </c>
      <c r="C331" s="5" t="s">
        <v>6</v>
      </c>
      <c r="D331" s="6">
        <v>1039.2</v>
      </c>
      <c r="E331" s="6">
        <v>391</v>
      </c>
      <c r="F331" s="9">
        <v>0.62</v>
      </c>
      <c r="H331" s="11"/>
      <c r="I331" s="11"/>
      <c r="J331" s="11"/>
    </row>
    <row r="332" spans="1:10" ht="15.75" x14ac:dyDescent="0.3">
      <c r="A332" s="12" t="str">
        <f>HYPERLINK("https://parts-sales.ru/parts/MAN/06028134924","06.02813-4924")</f>
        <v>06.02813-4924</v>
      </c>
      <c r="B332" s="12" t="str">
        <f>HYPERLINK("https://parts-sales.ru/parts/MAN/06028134924","Стопорный винт с 6-гран. гол. M14X1,5X10")</f>
        <v>Стопорный винт с 6-гран. гол. M14X1,5X10</v>
      </c>
      <c r="C332" s="3" t="s">
        <v>6</v>
      </c>
      <c r="D332" s="4">
        <v>1068</v>
      </c>
      <c r="E332" s="4">
        <v>178</v>
      </c>
      <c r="F332" s="8">
        <v>0.83</v>
      </c>
      <c r="H332" s="11"/>
      <c r="I332" s="11"/>
      <c r="J332" s="11"/>
    </row>
    <row r="333" spans="1:10" ht="15.75" x14ac:dyDescent="0.3">
      <c r="A333" s="13" t="str">
        <f>HYPERLINK("https://parts-sales.ru/parts/MAN/06028134925","06.02813-4925")</f>
        <v>06.02813-4925</v>
      </c>
      <c r="B333" s="13" t="str">
        <f>HYPERLINK("https://parts-sales.ru/parts/MAN/06028134925","Стопорный винт с 6-гран. гол. M14X1,5X11")</f>
        <v>Стопорный винт с 6-гран. гол. M14X1,5X11</v>
      </c>
      <c r="C333" s="5" t="s">
        <v>6</v>
      </c>
      <c r="D333" s="6">
        <v>1132.8</v>
      </c>
      <c r="E333" s="6">
        <v>309</v>
      </c>
      <c r="F333" s="9">
        <v>0.73</v>
      </c>
      <c r="H333" s="11"/>
      <c r="I333" s="11"/>
      <c r="J333" s="11"/>
    </row>
    <row r="334" spans="1:10" ht="15.75" x14ac:dyDescent="0.3">
      <c r="A334" s="12" t="str">
        <f>HYPERLINK("https://parts-sales.ru/parts/MAN/06028134929","06.02813-4929")</f>
        <v>06.02813-4929</v>
      </c>
      <c r="B334" s="12" t="str">
        <f>HYPERLINK("https://parts-sales.ru/parts/MAN/06028134929","Стопорный винт с 6-гран. гол. M14X1,5X13")</f>
        <v>Стопорный винт с 6-гран. гол. M14X1,5X13</v>
      </c>
      <c r="C334" s="3" t="s">
        <v>6</v>
      </c>
      <c r="D334" s="4">
        <v>1052.4000000000001</v>
      </c>
      <c r="E334" s="4">
        <v>461</v>
      </c>
      <c r="F334" s="8">
        <v>0.56000000000000005</v>
      </c>
      <c r="H334" s="11"/>
      <c r="I334" s="11"/>
      <c r="J334" s="11"/>
    </row>
    <row r="335" spans="1:10" ht="15.75" x14ac:dyDescent="0.3">
      <c r="A335" s="13" t="str">
        <f>HYPERLINK("https://parts-sales.ru/parts/MAN/06028134930","06.02813-4930")</f>
        <v>06.02813-4930</v>
      </c>
      <c r="B335" s="13" t="str">
        <f>HYPERLINK("https://parts-sales.ru/parts/MAN/06028134930","Стопорный винт с 6-гран. гол. M14X1,5X14")</f>
        <v>Стопорный винт с 6-гран. гол. M14X1,5X14</v>
      </c>
      <c r="C335" s="5" t="s">
        <v>6</v>
      </c>
      <c r="D335" s="6">
        <v>1257.5999999999999</v>
      </c>
      <c r="E335" s="6">
        <v>219</v>
      </c>
      <c r="F335" s="9">
        <v>0.83</v>
      </c>
      <c r="H335" s="11"/>
      <c r="I335" s="11"/>
      <c r="J335" s="11"/>
    </row>
    <row r="336" spans="1:10" ht="15.75" x14ac:dyDescent="0.3">
      <c r="A336" s="12" t="str">
        <f>HYPERLINK("https://parts-sales.ru/parts/MAN/06028134942","06.02813-4942")</f>
        <v>06.02813-4942</v>
      </c>
      <c r="B336" s="12" t="str">
        <f>HYPERLINK("https://parts-sales.ru/parts/MAN/06028134942","Стопорный винт с 6-гран. гол. M14X1,5X13")</f>
        <v>Стопорный винт с 6-гран. гол. M14X1,5X13</v>
      </c>
      <c r="C336" s="3" t="s">
        <v>6</v>
      </c>
      <c r="D336" s="4">
        <v>1240.8</v>
      </c>
      <c r="E336" s="4">
        <v>259</v>
      </c>
      <c r="F336" s="8">
        <v>0.79</v>
      </c>
      <c r="H336" s="11"/>
      <c r="I336" s="11"/>
      <c r="J336" s="11"/>
    </row>
    <row r="337" spans="1:10" ht="15.75" x14ac:dyDescent="0.3">
      <c r="A337" s="13" t="str">
        <f>HYPERLINK("https://parts-sales.ru/parts/MAN/06028135015","06.02813-5015")</f>
        <v>06.02813-5015</v>
      </c>
      <c r="B337" s="13" t="str">
        <f>HYPERLINK("https://parts-sales.ru/parts/MAN/06028135015","Стопорный винт с 6-гран. гол. M16X1,5X50")</f>
        <v>Стопорный винт с 6-гран. гол. M16X1,5X50</v>
      </c>
      <c r="C337" s="5" t="s">
        <v>6</v>
      </c>
      <c r="D337" s="6">
        <v>279.14</v>
      </c>
      <c r="E337" s="6">
        <v>186</v>
      </c>
      <c r="F337" s="9">
        <v>0.33</v>
      </c>
      <c r="H337" s="11"/>
      <c r="I337" s="11"/>
      <c r="J337" s="11"/>
    </row>
    <row r="338" spans="1:10" ht="15.75" x14ac:dyDescent="0.3">
      <c r="A338" s="12" t="str">
        <f>HYPERLINK("https://parts-sales.ru/parts/MAN/06028135016","06.02813-5016")</f>
        <v>06.02813-5016</v>
      </c>
      <c r="B338" s="12" t="str">
        <f>HYPERLINK("https://parts-sales.ru/parts/MAN/06028135016","Стопорный винт с 6-гран. гол. M16X1,5X55")</f>
        <v>Стопорный винт с 6-гран. гол. M16X1,5X55</v>
      </c>
      <c r="C338" s="3" t="s">
        <v>6</v>
      </c>
      <c r="D338" s="4">
        <v>1437.6</v>
      </c>
      <c r="E338" s="4">
        <v>115</v>
      </c>
      <c r="F338" s="8">
        <v>0.92</v>
      </c>
      <c r="H338" s="11"/>
      <c r="I338" s="11"/>
      <c r="J338" s="11"/>
    </row>
    <row r="339" spans="1:10" ht="15.75" x14ac:dyDescent="0.3">
      <c r="A339" s="13" t="str">
        <f>HYPERLINK("https://parts-sales.ru/parts/MAN/06028135024","06.02813-5024")</f>
        <v>06.02813-5024</v>
      </c>
      <c r="B339" s="13" t="str">
        <f>HYPERLINK("https://parts-sales.ru/parts/MAN/06028135024","Стопорный винт с 6-гран. гол. M16X1,5X10")</f>
        <v>Стопорный винт с 6-гран. гол. M16X1,5X10</v>
      </c>
      <c r="C339" s="5" t="s">
        <v>6</v>
      </c>
      <c r="D339" s="6">
        <v>2295.6</v>
      </c>
      <c r="E339" s="6">
        <v>249</v>
      </c>
      <c r="F339" s="9">
        <v>0.89</v>
      </c>
      <c r="H339" s="11"/>
      <c r="I339" s="11"/>
      <c r="J339" s="11"/>
    </row>
    <row r="340" spans="1:10" ht="15.75" x14ac:dyDescent="0.3">
      <c r="A340" s="12" t="str">
        <f>HYPERLINK("https://parts-sales.ru/parts/MAN/06028135027","06.02813-5027")</f>
        <v>06.02813-5027</v>
      </c>
      <c r="B340" s="12" t="str">
        <f>HYPERLINK("https://parts-sales.ru/parts/MAN/06028135027","Стопорный винт с 6-гран. гол. M16X1,5X11")</f>
        <v>Стопорный винт с 6-гран. гол. M16X1,5X11</v>
      </c>
      <c r="C340" s="3" t="s">
        <v>6</v>
      </c>
      <c r="D340" s="4">
        <v>2498.4</v>
      </c>
      <c r="E340" s="4">
        <v>121</v>
      </c>
      <c r="F340" s="8">
        <v>0.95</v>
      </c>
      <c r="H340" s="11"/>
      <c r="I340" s="11"/>
      <c r="J340" s="11"/>
    </row>
    <row r="341" spans="1:10" ht="15.75" x14ac:dyDescent="0.3">
      <c r="A341" s="13" t="str">
        <f>HYPERLINK("https://parts-sales.ru/parts/MAN/06028158941","06.02815-8941")</f>
        <v>06.02815-8941</v>
      </c>
      <c r="B341" s="13" t="str">
        <f>HYPERLINK("https://parts-sales.ru/parts/MAN/06028158941","Стопорный винт с 6-гран. гол. M14X1,5X15")</f>
        <v>Стопорный винт с 6-гран. гол. M14X1,5X15</v>
      </c>
      <c r="C341" s="5" t="s">
        <v>6</v>
      </c>
      <c r="D341" s="6">
        <v>1029.5999999999999</v>
      </c>
      <c r="E341" s="6">
        <v>99</v>
      </c>
      <c r="F341" s="9">
        <v>0.9</v>
      </c>
      <c r="H341" s="11"/>
      <c r="I341" s="11"/>
      <c r="J341" s="11"/>
    </row>
    <row r="342" spans="1:10" ht="15.75" x14ac:dyDescent="0.3">
      <c r="A342" s="12" t="str">
        <f>HYPERLINK("https://parts-sales.ru/parts/MAN/06028161412","06.02816-1412")</f>
        <v>06.02816-1412</v>
      </c>
      <c r="B342" s="12" t="str">
        <f>HYPERLINK("https://parts-sales.ru/parts/MAN/06028161412","Стопорный винт с 6-гран. гол. M18X1,5X35")</f>
        <v>Стопорный винт с 6-гран. гол. M18X1,5X35</v>
      </c>
      <c r="C342" s="3" t="s">
        <v>6</v>
      </c>
      <c r="D342" s="4">
        <v>2150.4</v>
      </c>
      <c r="E342" s="4">
        <v>223</v>
      </c>
      <c r="F342" s="8">
        <v>0.9</v>
      </c>
      <c r="H342" s="11"/>
      <c r="I342" s="11"/>
      <c r="J342" s="11"/>
    </row>
    <row r="343" spans="1:10" ht="15.75" x14ac:dyDescent="0.3">
      <c r="A343" s="13" t="str">
        <f>HYPERLINK("https://parts-sales.ru/parts/MAN/06028163020","06.02816-3020")</f>
        <v>06.02816-3020</v>
      </c>
      <c r="B343" s="13" t="str">
        <f>HYPERLINK("https://parts-sales.ru/parts/MAN/06028163020","Стопорный винт с 6-гран. гол. M16X1,5X75")</f>
        <v>Стопорный винт с 6-гран. гол. M16X1,5X75</v>
      </c>
      <c r="C343" s="5" t="s">
        <v>6</v>
      </c>
      <c r="D343" s="6">
        <v>2132.4</v>
      </c>
      <c r="E343" s="6">
        <v>484</v>
      </c>
      <c r="F343" s="9">
        <v>0.77</v>
      </c>
      <c r="H343" s="11"/>
      <c r="I343" s="11"/>
      <c r="J343" s="11"/>
    </row>
    <row r="344" spans="1:10" ht="15.75" x14ac:dyDescent="0.3">
      <c r="A344" s="12" t="str">
        <f>HYPERLINK("https://parts-sales.ru/parts/MAN/06028190010","06.02819-0010")</f>
        <v>06.02819-0010</v>
      </c>
      <c r="B344" s="12" t="str">
        <f>HYPERLINK("https://parts-sales.ru/parts/MAN/06028190010","Стопорный винт с 6-гран. гол. M14X1,5X50")</f>
        <v>Стопорный винт с 6-гран. гол. M14X1,5X50</v>
      </c>
      <c r="C344" s="3" t="s">
        <v>6</v>
      </c>
      <c r="D344" s="4">
        <v>1490.4</v>
      </c>
      <c r="E344" s="4">
        <v>9</v>
      </c>
      <c r="F344" s="8">
        <v>0.99</v>
      </c>
      <c r="H344" s="11"/>
      <c r="I344" s="11"/>
      <c r="J344" s="11"/>
    </row>
    <row r="345" spans="1:10" ht="15.75" x14ac:dyDescent="0.3">
      <c r="A345" s="13" t="str">
        <f>HYPERLINK("https://parts-sales.ru/parts/MAN/06028190021","06.02819-0021")</f>
        <v>06.02819-0021</v>
      </c>
      <c r="B345" s="13" t="str">
        <f>HYPERLINK("https://parts-sales.ru/parts/MAN/06028190021","Стопорный винт с 6-гран. гол. M20X1,5X75")</f>
        <v>Стопорный винт с 6-гран. гол. M20X1,5X75</v>
      </c>
      <c r="C345" s="5" t="s">
        <v>6</v>
      </c>
      <c r="D345" s="6">
        <v>2340</v>
      </c>
      <c r="E345" s="6">
        <v>96</v>
      </c>
      <c r="F345" s="9">
        <v>0.96</v>
      </c>
      <c r="H345" s="11"/>
      <c r="I345" s="11"/>
      <c r="J345" s="11"/>
    </row>
    <row r="346" spans="1:10" ht="15.75" x14ac:dyDescent="0.3">
      <c r="A346" s="12" t="str">
        <f>HYPERLINK("https://parts-sales.ru/parts/MAN/06028190029","06.02819-0029")</f>
        <v>06.02819-0029</v>
      </c>
      <c r="B346" s="12" t="str">
        <f>HYPERLINK("https://parts-sales.ru/parts/MAN/06028190029","Стопорный винт с 6-гран. гол. M8X20TC-10")</f>
        <v>Стопорный винт с 6-гран. гол. M8X20TC-10</v>
      </c>
      <c r="C346" s="3" t="s">
        <v>6</v>
      </c>
      <c r="D346" s="4">
        <v>308.39999999999998</v>
      </c>
      <c r="E346" s="4">
        <v>91</v>
      </c>
      <c r="F346" s="8">
        <v>0.7</v>
      </c>
      <c r="H346" s="11"/>
      <c r="I346" s="11"/>
      <c r="J346" s="11"/>
    </row>
    <row r="347" spans="1:10" ht="15.75" x14ac:dyDescent="0.3">
      <c r="A347" s="13" t="str">
        <f>HYPERLINK("https://parts-sales.ru/parts/MAN/06028190042","06.02819-0042")</f>
        <v>06.02819-0042</v>
      </c>
      <c r="B347" s="13" t="str">
        <f>HYPERLINK("https://parts-sales.ru/parts/MAN/06028190042","Стопорный винт с 6-гран. гол. M20X1,5X11")</f>
        <v>Стопорный винт с 6-гран. гол. M20X1,5X11</v>
      </c>
      <c r="C347" s="5" t="s">
        <v>6</v>
      </c>
      <c r="D347" s="6">
        <v>1148.73</v>
      </c>
      <c r="E347" s="6">
        <v>690</v>
      </c>
      <c r="F347" s="9">
        <v>0.4</v>
      </c>
      <c r="H347" s="11"/>
      <c r="I347" s="11"/>
      <c r="J347" s="11"/>
    </row>
    <row r="348" spans="1:10" ht="15.75" x14ac:dyDescent="0.3">
      <c r="A348" s="12" t="str">
        <f>HYPERLINK("https://parts-sales.ru/parts/MAN/06028190057","06.02819-0057")</f>
        <v>06.02819-0057</v>
      </c>
      <c r="B348" s="12" t="str">
        <f>HYPERLINK("https://parts-sales.ru/parts/MAN/06028190057","Стопорный винт с 6-гран. гол. M14X1,5X40")</f>
        <v>Стопорный винт с 6-гран. гол. M14X1,5X40</v>
      </c>
      <c r="C348" s="3" t="s">
        <v>6</v>
      </c>
      <c r="D348" s="4">
        <v>902.4</v>
      </c>
      <c r="E348" s="4">
        <v>46</v>
      </c>
      <c r="F348" s="8">
        <v>0.95</v>
      </c>
      <c r="H348" s="11"/>
      <c r="I348" s="11"/>
      <c r="J348" s="11"/>
    </row>
    <row r="349" spans="1:10" ht="15.75" x14ac:dyDescent="0.3">
      <c r="A349" s="13" t="str">
        <f>HYPERLINK("https://parts-sales.ru/parts/MAN/06028190062","06.02819-0062")</f>
        <v>06.02819-0062</v>
      </c>
      <c r="B349" s="13" t="str">
        <f>HYPERLINK("https://parts-sales.ru/parts/MAN/06028190062","Стопорный винт с 6-гран. гол. M14X1,5X40")</f>
        <v>Стопорный винт с 6-гран. гол. M14X1,5X40</v>
      </c>
      <c r="C349" s="5" t="s">
        <v>6</v>
      </c>
      <c r="D349" s="6">
        <v>902.4</v>
      </c>
      <c r="E349" s="6">
        <v>20</v>
      </c>
      <c r="F349" s="9">
        <v>0.98</v>
      </c>
      <c r="H349" s="11"/>
      <c r="I349" s="11"/>
      <c r="J349" s="11"/>
    </row>
    <row r="350" spans="1:10" ht="15.75" x14ac:dyDescent="0.3">
      <c r="A350" s="12" t="str">
        <f>HYPERLINK("https://parts-sales.ru/parts/MAN/06028190063","06.02819-0063")</f>
        <v>06.02819-0063</v>
      </c>
      <c r="B350" s="12" t="str">
        <f>HYPERLINK("https://parts-sales.ru/parts/MAN/06028190063","Стопорный винт с 6-гран. гол. M14X1,5X50")</f>
        <v>Стопорный винт с 6-гран. гол. M14X1,5X50</v>
      </c>
      <c r="C350" s="3" t="s">
        <v>6</v>
      </c>
      <c r="D350" s="4">
        <v>1588.8</v>
      </c>
      <c r="E350" s="4">
        <v>389</v>
      </c>
      <c r="F350" s="8">
        <v>0.76</v>
      </c>
      <c r="H350" s="11"/>
      <c r="I350" s="11"/>
      <c r="J350" s="11"/>
    </row>
    <row r="351" spans="1:10" ht="15.75" x14ac:dyDescent="0.3">
      <c r="A351" s="13" t="str">
        <f>HYPERLINK("https://parts-sales.ru/parts/MAN/06028190066","06.02819-0066")</f>
        <v>06.02819-0066</v>
      </c>
      <c r="B351" s="13" t="str">
        <f>HYPERLINK("https://parts-sales.ru/parts/MAN/06028190066","Стопорный винт с 6-гран. гол. M16X1,5X40")</f>
        <v>Стопорный винт с 6-гран. гол. M16X1,5X40</v>
      </c>
      <c r="C351" s="5" t="s">
        <v>6</v>
      </c>
      <c r="D351" s="6">
        <v>1658.52</v>
      </c>
      <c r="E351" s="6">
        <v>994</v>
      </c>
      <c r="F351" s="9">
        <v>0.4</v>
      </c>
      <c r="H351" s="11"/>
      <c r="I351" s="11"/>
      <c r="J351" s="11"/>
    </row>
    <row r="352" spans="1:10" ht="15.75" x14ac:dyDescent="0.3">
      <c r="A352" s="12" t="str">
        <f>HYPERLINK("https://parts-sales.ru/parts/MAN/06028190070","06.02819-0070")</f>
        <v>06.02819-0070</v>
      </c>
      <c r="B352" s="12" t="str">
        <f>HYPERLINK("https://parts-sales.ru/parts/MAN/06028190070","Стопорный винт с 6-гран. гол. M14X1,5X50")</f>
        <v>Стопорный винт с 6-гран. гол. M14X1,5X50</v>
      </c>
      <c r="C352" s="3" t="s">
        <v>6</v>
      </c>
      <c r="D352" s="4">
        <v>435.6</v>
      </c>
      <c r="E352" s="4">
        <v>170</v>
      </c>
      <c r="F352" s="8">
        <v>0.61</v>
      </c>
      <c r="H352" s="11"/>
      <c r="I352" s="11"/>
      <c r="J352" s="11"/>
    </row>
    <row r="353" spans="1:10" ht="15.75" x14ac:dyDescent="0.3">
      <c r="A353" s="13" t="str">
        <f>HYPERLINK("https://parts-sales.ru/parts/MAN/06028190074","06.02819-0074")</f>
        <v>06.02819-0074</v>
      </c>
      <c r="B353" s="13" t="str">
        <f>HYPERLINK("https://parts-sales.ru/parts/MAN/06028190074","Стопорный винт с 6-гран. гол. M18X2X160-")</f>
        <v>Стопорный винт с 6-гран. гол. M18X2X160-</v>
      </c>
      <c r="C353" s="5" t="s">
        <v>6</v>
      </c>
      <c r="D353" s="6">
        <v>2023.2</v>
      </c>
      <c r="E353" s="6">
        <v>88</v>
      </c>
      <c r="F353" s="9">
        <v>0.96</v>
      </c>
      <c r="H353" s="11"/>
      <c r="I353" s="11"/>
      <c r="J353" s="11"/>
    </row>
    <row r="354" spans="1:10" ht="15.75" x14ac:dyDescent="0.3">
      <c r="A354" s="12" t="str">
        <f>HYPERLINK("https://parts-sales.ru/parts/MAN/06028190088","06.02819-0088")</f>
        <v>06.02819-0088</v>
      </c>
      <c r="B354" s="12" t="str">
        <f>HYPERLINK("https://parts-sales.ru/parts/MAN/06028190088","Стопорный винт с 6-гран. гол. M14X1,5X65")</f>
        <v>Стопорный винт с 6-гран. гол. M14X1,5X65</v>
      </c>
      <c r="C354" s="3" t="s">
        <v>6</v>
      </c>
      <c r="D354" s="4">
        <v>1039.2</v>
      </c>
      <c r="E354" s="4">
        <v>24</v>
      </c>
      <c r="F354" s="8">
        <v>0.98</v>
      </c>
      <c r="H354" s="11"/>
      <c r="I354" s="11"/>
      <c r="J354" s="11"/>
    </row>
    <row r="355" spans="1:10" ht="15.75" x14ac:dyDescent="0.3">
      <c r="A355" s="13" t="str">
        <f>HYPERLINK("https://parts-sales.ru/parts/MAN/06028224306","06.02822-4306")</f>
        <v>06.02822-4306</v>
      </c>
      <c r="B355" s="13" t="str">
        <f>HYPERLINK("https://parts-sales.ru/parts/MAN/06028224306","Стопорный винт с 6-гран. гол. M6X20C-MK6")</f>
        <v>Стопорный винт с 6-гран. гол. M6X20C-MK6</v>
      </c>
      <c r="C355" s="5" t="s">
        <v>6</v>
      </c>
      <c r="D355" s="6">
        <v>320.39999999999998</v>
      </c>
      <c r="E355" s="6">
        <v>21</v>
      </c>
      <c r="F355" s="9">
        <v>0.93</v>
      </c>
      <c r="H355" s="11"/>
      <c r="I355" s="11"/>
      <c r="J355" s="11"/>
    </row>
    <row r="356" spans="1:10" ht="15.75" x14ac:dyDescent="0.3">
      <c r="A356" s="12" t="str">
        <f>HYPERLINK("https://parts-sales.ru/parts/MAN/06028290018","06.02829-0018")</f>
        <v>06.02829-0018</v>
      </c>
      <c r="B356" s="12" t="str">
        <f>HYPERLINK("https://parts-sales.ru/parts/MAN/06028290018","Винт с плоской головкой M6X10-MK6-8.8-MA")</f>
        <v>Винт с плоской головкой M6X10-MK6-8.8-MA</v>
      </c>
      <c r="C356" s="3" t="s">
        <v>6</v>
      </c>
      <c r="D356" s="4">
        <v>240</v>
      </c>
      <c r="E356" s="4">
        <v>11</v>
      </c>
      <c r="F356" s="8">
        <v>0.95</v>
      </c>
      <c r="H356" s="11"/>
      <c r="I356" s="11"/>
      <c r="J356" s="11"/>
    </row>
    <row r="357" spans="1:10" ht="15.75" x14ac:dyDescent="0.3">
      <c r="A357" s="13" t="str">
        <f>HYPERLINK("https://parts-sales.ru/parts/MAN/06028290025","06.02829-0025")</f>
        <v>06.02829-0025</v>
      </c>
      <c r="B357" s="13" t="str">
        <f>HYPERLINK("https://parts-sales.ru/parts/MAN/06028290025","6-гран. фланцевый винт M8X40-MK8X4-10.9-")</f>
        <v>6-гран. фланцевый винт M8X40-MK8X4-10.9-</v>
      </c>
      <c r="C357" s="5" t="s">
        <v>6</v>
      </c>
      <c r="D357" s="6">
        <v>326.39999999999998</v>
      </c>
      <c r="E357" s="6">
        <v>75</v>
      </c>
      <c r="F357" s="9">
        <v>0.77</v>
      </c>
      <c r="H357" s="11"/>
      <c r="I357" s="11"/>
      <c r="J357" s="11"/>
    </row>
    <row r="358" spans="1:10" ht="15.75" x14ac:dyDescent="0.3">
      <c r="A358" s="12" t="str">
        <f>HYPERLINK("https://parts-sales.ru/parts/MAN/06028290031","06.02829-0031")</f>
        <v>06.02829-0031</v>
      </c>
      <c r="B358" s="12" t="str">
        <f>HYPERLINK("https://parts-sales.ru/parts/MAN/06028290031","Винт с плоской головкой M6X16-MK6-8.8-MA")</f>
        <v>Винт с плоской головкой M6X16-MK6-8.8-MA</v>
      </c>
      <c r="C358" s="3" t="s">
        <v>6</v>
      </c>
      <c r="D358" s="4">
        <v>308.39999999999998</v>
      </c>
      <c r="E358" s="4">
        <v>79</v>
      </c>
      <c r="F358" s="8">
        <v>0.74</v>
      </c>
      <c r="H358" s="11"/>
      <c r="I358" s="11"/>
      <c r="J358" s="11"/>
    </row>
    <row r="359" spans="1:10" ht="15.75" x14ac:dyDescent="0.3">
      <c r="A359" s="13" t="str">
        <f>HYPERLINK("https://parts-sales.ru/parts/MAN/06028290035","06.02829-0035")</f>
        <v>06.02829-0035</v>
      </c>
      <c r="B359" s="13" t="str">
        <f>HYPERLINK("https://parts-sales.ru/parts/MAN/06028290035","Стопорный винт с 6-гран. гол. M8X12C-MK5")</f>
        <v>Стопорный винт с 6-гран. гол. M8X12C-MK5</v>
      </c>
      <c r="C359" s="5" t="s">
        <v>6</v>
      </c>
      <c r="D359" s="6">
        <v>417.6</v>
      </c>
      <c r="E359" s="6">
        <v>107</v>
      </c>
      <c r="F359" s="9">
        <v>0.74</v>
      </c>
      <c r="H359" s="11"/>
      <c r="I359" s="11"/>
      <c r="J359" s="11"/>
    </row>
    <row r="360" spans="1:10" ht="15.75" x14ac:dyDescent="0.3">
      <c r="A360" s="12" t="str">
        <f>HYPERLINK("https://parts-sales.ru/parts/MAN/06028290037","06.02829-0037")</f>
        <v>06.02829-0037</v>
      </c>
      <c r="B360" s="12" t="str">
        <f>HYPERLINK("https://parts-sales.ru/parts/MAN/06028290037","Стоп. винт с потайной головкой M14X25C-M")</f>
        <v>Стоп. винт с потайной головкой M14X25C-M</v>
      </c>
      <c r="C360" s="3" t="s">
        <v>6</v>
      </c>
      <c r="D360" s="4">
        <v>622.79999999999995</v>
      </c>
      <c r="E360" s="4">
        <v>144</v>
      </c>
      <c r="F360" s="8">
        <v>0.77</v>
      </c>
      <c r="H360" s="11"/>
      <c r="I360" s="11"/>
      <c r="J360" s="11"/>
    </row>
    <row r="361" spans="1:10" ht="15.75" x14ac:dyDescent="0.3">
      <c r="A361" s="13" t="str">
        <f>HYPERLINK("https://parts-sales.ru/parts/MAN/06028343219","06.02834-3219")</f>
        <v>06.02834-3219</v>
      </c>
      <c r="B361" s="13" t="str">
        <f>HYPERLINK("https://parts-sales.ru/parts/MAN/06028343219","Стопорный винт с 6-гран. гол. M22X1,5X75")</f>
        <v>Стопорный винт с 6-гран. гол. M22X1,5X75</v>
      </c>
      <c r="C361" s="5" t="s">
        <v>6</v>
      </c>
      <c r="D361" s="6">
        <v>2329.1999999999998</v>
      </c>
      <c r="E361" s="6">
        <v>591</v>
      </c>
      <c r="F361" s="9">
        <v>0.75</v>
      </c>
      <c r="H361" s="11"/>
      <c r="I361" s="11"/>
      <c r="J361" s="11"/>
    </row>
    <row r="362" spans="1:10" ht="15.75" x14ac:dyDescent="0.3">
      <c r="A362" s="12" t="str">
        <f>HYPERLINK("https://parts-sales.ru/parts/MAN/06028346714","06.02834-6714")</f>
        <v>06.02834-6714</v>
      </c>
      <c r="B362" s="12" t="str">
        <f>HYPERLINK("https://parts-sales.ru/parts/MAN/06028346714","Стопорный винт с 6-гран. гол. M16X1,5X50")</f>
        <v>Стопорный винт с 6-гран. гол. M16X1,5X50</v>
      </c>
      <c r="C362" s="3" t="s">
        <v>6</v>
      </c>
      <c r="D362" s="4">
        <v>919.2</v>
      </c>
      <c r="E362" s="4">
        <v>186</v>
      </c>
      <c r="F362" s="8">
        <v>0.8</v>
      </c>
      <c r="H362" s="11"/>
      <c r="I362" s="11"/>
      <c r="J362" s="11"/>
    </row>
    <row r="363" spans="1:10" ht="15.75" x14ac:dyDescent="0.3">
      <c r="A363" s="13" t="str">
        <f>HYPERLINK("https://parts-sales.ru/parts/MAN/06028364558","06.02836-4558")</f>
        <v>06.02836-4558</v>
      </c>
      <c r="B363" s="13" t="str">
        <f>HYPERLINK("https://parts-sales.ru/parts/MAN/06028364558","Стопорный винт с 6-гран. гол. M12X1,5X25")</f>
        <v>Стопорный винт с 6-гран. гол. M12X1,5X25</v>
      </c>
      <c r="C363" s="5" t="s">
        <v>6</v>
      </c>
      <c r="D363" s="6">
        <v>440.4</v>
      </c>
      <c r="E363" s="6">
        <v>18</v>
      </c>
      <c r="F363" s="9">
        <v>0.96</v>
      </c>
      <c r="H363" s="11"/>
      <c r="I363" s="11"/>
      <c r="J363" s="11"/>
    </row>
    <row r="364" spans="1:10" ht="15.75" x14ac:dyDescent="0.3">
      <c r="A364" s="12" t="str">
        <f>HYPERLINK("https://parts-sales.ru/parts/MAN/06028365066","06.02836-5066")</f>
        <v>06.02836-5066</v>
      </c>
      <c r="B364" s="12" t="str">
        <f>HYPERLINK("https://parts-sales.ru/parts/MAN/06028365066","Стоп. винт с потайной головкой M20X1,5X6")</f>
        <v>Стоп. винт с потайной головкой M20X1,5X6</v>
      </c>
      <c r="C364" s="3" t="s">
        <v>6</v>
      </c>
      <c r="D364" s="4">
        <v>622.79999999999995</v>
      </c>
      <c r="E364" s="4">
        <v>48</v>
      </c>
      <c r="F364" s="8">
        <v>0.92</v>
      </c>
      <c r="H364" s="11"/>
      <c r="I364" s="11"/>
      <c r="J364" s="11"/>
    </row>
    <row r="365" spans="1:10" ht="15.75" x14ac:dyDescent="0.3">
      <c r="A365" s="13" t="str">
        <f>HYPERLINK("https://parts-sales.ru/parts/MAN/06028390006","06.02839-0006")</f>
        <v>06.02839-0006</v>
      </c>
      <c r="B365" s="13" t="str">
        <f>HYPERLINK("https://parts-sales.ru/parts/MAN/06028390006","Стопорный винт с 6-гран. гол. M10X20K-MK")</f>
        <v>Стопорный винт с 6-гран. гол. M10X20K-MK</v>
      </c>
      <c r="C365" s="5" t="s">
        <v>6</v>
      </c>
      <c r="D365" s="6">
        <v>339.6</v>
      </c>
      <c r="E365" s="6">
        <v>76</v>
      </c>
      <c r="F365" s="9">
        <v>0.78</v>
      </c>
      <c r="H365" s="11"/>
      <c r="I365" s="11"/>
      <c r="J365" s="11"/>
    </row>
    <row r="366" spans="1:10" ht="15.75" x14ac:dyDescent="0.3">
      <c r="A366" s="12" t="str">
        <f>HYPERLINK("https://parts-sales.ru/parts/MAN/06028390021","06.02839-0021")</f>
        <v>06.02839-0021</v>
      </c>
      <c r="B366" s="12" t="str">
        <f>HYPERLINK("https://parts-sales.ru/parts/MAN/06028390021","Стопорный винт с 6-гран. гол. M24X2X160B")</f>
        <v>Стопорный винт с 6-гран. гол. M24X2X160B</v>
      </c>
      <c r="C366" s="3" t="s">
        <v>6</v>
      </c>
      <c r="D366" s="4">
        <v>3903.6</v>
      </c>
      <c r="E366" s="4">
        <v>938</v>
      </c>
      <c r="F366" s="8">
        <v>0.76</v>
      </c>
      <c r="H366" s="11"/>
      <c r="I366" s="11"/>
      <c r="J366" s="11"/>
    </row>
    <row r="367" spans="1:10" ht="15.75" x14ac:dyDescent="0.3">
      <c r="A367" s="13" t="str">
        <f>HYPERLINK("https://parts-sales.ru/parts/MAN/06028390034","06.02839-0034")</f>
        <v>06.02839-0034</v>
      </c>
      <c r="B367" s="13" t="str">
        <f>HYPERLINK("https://parts-sales.ru/parts/MAN/06028390034","Стопорный винт с 6-гран. гол. M14X1,5X25")</f>
        <v>Стопорный винт с 6-гран. гол. M14X1,5X25</v>
      </c>
      <c r="C367" s="5" t="s">
        <v>6</v>
      </c>
      <c r="D367" s="6">
        <v>186.65</v>
      </c>
      <c r="E367" s="6">
        <v>125</v>
      </c>
      <c r="F367" s="9">
        <v>0.33</v>
      </c>
      <c r="H367" s="11"/>
      <c r="I367" s="11"/>
      <c r="J367" s="11"/>
    </row>
    <row r="368" spans="1:10" ht="15.75" x14ac:dyDescent="0.3">
      <c r="A368" s="12" t="str">
        <f>HYPERLINK("https://parts-sales.ru/parts/MAN/06028390047","06.02839-0047")</f>
        <v>06.02839-0047</v>
      </c>
      <c r="B368" s="12" t="str">
        <f>HYPERLINK("https://parts-sales.ru/parts/MAN/06028390047","Стопорный винт с 6-гран. гол. M16X55H-MK")</f>
        <v>Стопорный винт с 6-гран. гол. M16X55H-MK</v>
      </c>
      <c r="C368" s="3" t="s">
        <v>6</v>
      </c>
      <c r="D368" s="4">
        <v>1714.8</v>
      </c>
      <c r="E368" s="4">
        <v>659</v>
      </c>
      <c r="F368" s="8">
        <v>0.62</v>
      </c>
      <c r="H368" s="11"/>
      <c r="I368" s="11"/>
      <c r="J368" s="11"/>
    </row>
    <row r="369" spans="1:10" ht="15.75" x14ac:dyDescent="0.3">
      <c r="A369" s="13" t="str">
        <f>HYPERLINK("https://parts-sales.ru/parts/MAN/06028390049","06.02839-0049")</f>
        <v>06.02839-0049</v>
      </c>
      <c r="B369" s="13" t="str">
        <f>HYPERLINK("https://parts-sales.ru/parts/MAN/06028390049","Стопорный винт с 6-гран. гол. M14X1,5X45")</f>
        <v>Стопорный винт с 6-гран. гол. M14X1,5X45</v>
      </c>
      <c r="C369" s="5" t="s">
        <v>6</v>
      </c>
      <c r="D369" s="6">
        <v>962.4</v>
      </c>
      <c r="E369" s="6">
        <v>301</v>
      </c>
      <c r="F369" s="9">
        <v>0.69</v>
      </c>
      <c r="H369" s="11"/>
      <c r="I369" s="11"/>
      <c r="J369" s="11"/>
    </row>
    <row r="370" spans="1:10" ht="15.75" x14ac:dyDescent="0.3">
      <c r="A370" s="12" t="str">
        <f>HYPERLINK("https://parts-sales.ru/parts/MAN/06028390050","06.02839-0050")</f>
        <v>06.02839-0050</v>
      </c>
      <c r="B370" s="12" t="str">
        <f>HYPERLINK("https://parts-sales.ru/parts/MAN/06028390050","Стопорный винт с 6-гран. гол. M14X1,5X55")</f>
        <v>Стопорный винт с 6-гран. гол. M14X1,5X55</v>
      </c>
      <c r="C370" s="3" t="s">
        <v>6</v>
      </c>
      <c r="D370" s="4">
        <v>1298.4000000000001</v>
      </c>
      <c r="E370" s="4">
        <v>273</v>
      </c>
      <c r="F370" s="8">
        <v>0.79</v>
      </c>
      <c r="H370" s="11"/>
      <c r="I370" s="11"/>
      <c r="J370" s="11"/>
    </row>
    <row r="371" spans="1:10" ht="15.75" x14ac:dyDescent="0.3">
      <c r="A371" s="13" t="str">
        <f>HYPERLINK("https://parts-sales.ru/parts/MAN/06028390051","06.02839-0051")</f>
        <v>06.02839-0051</v>
      </c>
      <c r="B371" s="13" t="str">
        <f>HYPERLINK("https://parts-sales.ru/parts/MAN/06028390051","Стопорный винт с 6-гран. гол. M16X1,5X12")</f>
        <v>Стопорный винт с 6-гран. гол. M16X1,5X12</v>
      </c>
      <c r="C371" s="5" t="s">
        <v>6</v>
      </c>
      <c r="D371" s="6">
        <v>2642.4</v>
      </c>
      <c r="E371" s="6">
        <v>166</v>
      </c>
      <c r="F371" s="9">
        <v>0.94</v>
      </c>
      <c r="H371" s="11"/>
      <c r="I371" s="11"/>
      <c r="J371" s="11"/>
    </row>
    <row r="372" spans="1:10" ht="15.75" x14ac:dyDescent="0.3">
      <c r="A372" s="12" t="str">
        <f>HYPERLINK("https://parts-sales.ru/parts/MAN/06028390055","06.02839-0055")</f>
        <v>06.02839-0055</v>
      </c>
      <c r="B372" s="12" t="str">
        <f>HYPERLINK("https://parts-sales.ru/parts/MAN/06028390055","Стопорный винт цилиндра M12X1,5X35-MK10X")</f>
        <v>Стопорный винт цилиндра M12X1,5X35-MK10X</v>
      </c>
      <c r="C372" s="3" t="s">
        <v>6</v>
      </c>
      <c r="D372" s="4">
        <v>1240.8</v>
      </c>
      <c r="E372" s="4">
        <v>355</v>
      </c>
      <c r="F372" s="8">
        <v>0.71</v>
      </c>
      <c r="H372" s="11"/>
      <c r="I372" s="11"/>
      <c r="J372" s="11"/>
    </row>
    <row r="373" spans="1:10" ht="15.75" x14ac:dyDescent="0.3">
      <c r="A373" s="13" t="str">
        <f>HYPERLINK("https://parts-sales.ru/parts/MAN/06028390059","06.02839-0059")</f>
        <v>06.02839-0059</v>
      </c>
      <c r="B373" s="13" t="str">
        <f>HYPERLINK("https://parts-sales.ru/parts/MAN/06028390059","Стопорный винт с 6-гран. гол. M12X1,5X10")</f>
        <v>Стопорный винт с 6-гран. гол. M12X1,5X10</v>
      </c>
      <c r="C373" s="5" t="s">
        <v>6</v>
      </c>
      <c r="D373" s="6">
        <v>1120.8</v>
      </c>
      <c r="E373" s="6">
        <v>224</v>
      </c>
      <c r="F373" s="9">
        <v>0.8</v>
      </c>
      <c r="H373" s="11"/>
      <c r="I373" s="11"/>
      <c r="J373" s="11"/>
    </row>
    <row r="374" spans="1:10" ht="15.75" x14ac:dyDescent="0.3">
      <c r="A374" s="12" t="str">
        <f>HYPERLINK("https://parts-sales.ru/parts/MAN/06028390063","06.02839-0063")</f>
        <v>06.02839-0063</v>
      </c>
      <c r="B374" s="12" t="str">
        <f>HYPERLINK("https://parts-sales.ru/parts/MAN/06028390063","Стопорный винт с 6-гран. гол. M24X2X145B")</f>
        <v>Стопорный винт с 6-гран. гол. M24X2X145B</v>
      </c>
      <c r="C374" s="3" t="s">
        <v>6</v>
      </c>
      <c r="D374" s="4">
        <v>4322.3999999999996</v>
      </c>
      <c r="E374" s="4">
        <v>224</v>
      </c>
      <c r="F374" s="8">
        <v>0.95</v>
      </c>
      <c r="H374" s="11"/>
      <c r="I374" s="11"/>
      <c r="J374" s="11"/>
    </row>
    <row r="375" spans="1:10" ht="15.75" x14ac:dyDescent="0.3">
      <c r="A375" s="13" t="str">
        <f>HYPERLINK("https://parts-sales.ru/parts/MAN/06028390064","06.02839-0064")</f>
        <v>06.02839-0064</v>
      </c>
      <c r="B375" s="13" t="str">
        <f>HYPERLINK("https://parts-sales.ru/parts/MAN/06028390064","Стопорный винт с 6-гран. гол. M24X2X140B")</f>
        <v>Стопорный винт с 6-гран. гол. M24X2X140B</v>
      </c>
      <c r="C375" s="5" t="s">
        <v>6</v>
      </c>
      <c r="D375" s="6">
        <v>3597.6</v>
      </c>
      <c r="E375" s="6">
        <v>825</v>
      </c>
      <c r="F375" s="9">
        <v>0.77</v>
      </c>
      <c r="H375" s="11"/>
      <c r="I375" s="11"/>
      <c r="J375" s="11"/>
    </row>
    <row r="376" spans="1:10" ht="15.75" x14ac:dyDescent="0.3">
      <c r="A376" s="12" t="str">
        <f>HYPERLINK("https://parts-sales.ru/parts/MAN/06028390067","06.02839-0067")</f>
        <v>06.02839-0067</v>
      </c>
      <c r="B376" s="12" t="str">
        <f>HYPERLINK("https://parts-sales.ru/parts/MAN/06028390067","Стопорный винт с 6-гран. гол. M12X1,5X35")</f>
        <v>Стопорный винт с 6-гран. гол. M12X1,5X35</v>
      </c>
      <c r="C376" s="3" t="s">
        <v>6</v>
      </c>
      <c r="D376" s="4">
        <v>651.6</v>
      </c>
      <c r="E376" s="4">
        <v>180</v>
      </c>
      <c r="F376" s="8">
        <v>0.72</v>
      </c>
      <c r="H376" s="11"/>
      <c r="I376" s="11"/>
      <c r="J376" s="11"/>
    </row>
    <row r="377" spans="1:10" ht="15.75" x14ac:dyDescent="0.3">
      <c r="A377" s="13" t="str">
        <f>HYPERLINK("https://parts-sales.ru/parts/MAN/06028390068","06.02839-0068")</f>
        <v>06.02839-0068</v>
      </c>
      <c r="B377" s="13" t="str">
        <f>HYPERLINK("https://parts-sales.ru/parts/MAN/06028390068","Стопорный винт с 6-гран. гол. M24X2X170B")</f>
        <v>Стопорный винт с 6-гран. гол. M24X2X170B</v>
      </c>
      <c r="C377" s="5" t="s">
        <v>6</v>
      </c>
      <c r="D377" s="6">
        <v>4207.2</v>
      </c>
      <c r="E377" s="6">
        <v>226</v>
      </c>
      <c r="F377" s="9">
        <v>0.95</v>
      </c>
      <c r="H377" s="11"/>
      <c r="I377" s="11"/>
      <c r="J377" s="11"/>
    </row>
    <row r="378" spans="1:10" ht="15.75" x14ac:dyDescent="0.3">
      <c r="A378" s="12" t="str">
        <f>HYPERLINK("https://parts-sales.ru/parts/MAN/06028468307","06.02846-8307")</f>
        <v>06.02846-8307</v>
      </c>
      <c r="B378" s="12" t="str">
        <f>HYPERLINK("https://parts-sales.ru/parts/MAN/06028468307","Стопорный винт цилиндра M6X20E-MK9-8.8-M")</f>
        <v>Стопорный винт цилиндра M6X20E-MK9-8.8-M</v>
      </c>
      <c r="C378" s="3" t="s">
        <v>6</v>
      </c>
      <c r="D378" s="4">
        <v>237.6</v>
      </c>
      <c r="E378" s="4">
        <v>41</v>
      </c>
      <c r="F378" s="8">
        <v>0.83</v>
      </c>
      <c r="H378" s="11"/>
      <c r="I378" s="11"/>
      <c r="J378" s="11"/>
    </row>
    <row r="379" spans="1:10" ht="15.75" x14ac:dyDescent="0.3">
      <c r="A379" s="13" t="str">
        <f>HYPERLINK("https://parts-sales.ru/parts/MAN/06028490018","06.02849-0018")</f>
        <v>06.02849-0018</v>
      </c>
      <c r="B379" s="13" t="str">
        <f>HYPERLINK("https://parts-sales.ru/parts/MAN/06028490018","Болт с буртиком M8X26LD-MK-10.9-T40-MAN1")</f>
        <v>Болт с буртиком M8X26LD-MK-10.9-T40-MAN1</v>
      </c>
      <c r="C379" s="5" t="s">
        <v>6</v>
      </c>
      <c r="D379" s="6">
        <v>502.8</v>
      </c>
      <c r="E379" s="6">
        <v>110</v>
      </c>
      <c r="F379" s="9">
        <v>0.78</v>
      </c>
      <c r="H379" s="11"/>
      <c r="I379" s="11"/>
      <c r="J379" s="11"/>
    </row>
    <row r="380" spans="1:10" ht="15.75" x14ac:dyDescent="0.3">
      <c r="A380" s="12" t="str">
        <f>HYPERLINK("https://parts-sales.ru/parts/MAN/06028490019","06.02849-0019")</f>
        <v>06.02849-0019</v>
      </c>
      <c r="B380" s="12" t="str">
        <f>HYPERLINK("https://parts-sales.ru/parts/MAN/06028490019","Болт с буртиком M8X31LD-MK-10.9-T45-MAN1")</f>
        <v>Болт с буртиком M8X31LD-MK-10.9-T45-MAN1</v>
      </c>
      <c r="C380" s="3" t="s">
        <v>6</v>
      </c>
      <c r="D380" s="4">
        <v>510</v>
      </c>
      <c r="E380" s="4">
        <v>99</v>
      </c>
      <c r="F380" s="8">
        <v>0.81</v>
      </c>
      <c r="H380" s="11"/>
      <c r="I380" s="11"/>
      <c r="J380" s="11"/>
    </row>
    <row r="381" spans="1:10" ht="15.75" x14ac:dyDescent="0.3">
      <c r="A381" s="13" t="str">
        <f>HYPERLINK("https://parts-sales.ru/parts/MAN/06028490021","06.02849-0021")</f>
        <v>06.02849-0021</v>
      </c>
      <c r="B381" s="13" t="str">
        <f>HYPERLINK("https://parts-sales.ru/parts/MAN/06028490021","Стопорный винт с 6-гран. гол. M8X20C-MK1")</f>
        <v>Стопорный винт с 6-гран. гол. M8X20C-MK1</v>
      </c>
      <c r="C381" s="5" t="s">
        <v>6</v>
      </c>
      <c r="D381" s="6">
        <v>339.6</v>
      </c>
      <c r="E381" s="6">
        <v>55</v>
      </c>
      <c r="F381" s="9">
        <v>0.84</v>
      </c>
      <c r="H381" s="11"/>
      <c r="I381" s="11"/>
      <c r="J381" s="11"/>
    </row>
    <row r="382" spans="1:10" ht="15.75" x14ac:dyDescent="0.3">
      <c r="A382" s="12" t="str">
        <f>HYPERLINK("https://parts-sales.ru/parts/MAN/06028490023","06.02849-0023")</f>
        <v>06.02849-0023</v>
      </c>
      <c r="B382" s="12" t="str">
        <f>HYPERLINK("https://parts-sales.ru/parts/MAN/06028490023","Винт с плоской головкой M5X40-MK7-4.8-MA")</f>
        <v>Винт с плоской головкой M5X40-MK7-4.8-MA</v>
      </c>
      <c r="C382" s="3" t="s">
        <v>6</v>
      </c>
      <c r="D382" s="4">
        <v>577.20000000000005</v>
      </c>
      <c r="E382" s="4">
        <v>97</v>
      </c>
      <c r="F382" s="8">
        <v>0.83</v>
      </c>
      <c r="H382" s="11"/>
      <c r="I382" s="11"/>
      <c r="J382" s="11"/>
    </row>
    <row r="383" spans="1:10" ht="15.75" x14ac:dyDescent="0.3">
      <c r="A383" s="13" t="str">
        <f>HYPERLINK("https://parts-sales.ru/parts/MAN/06028490032","06.02849-0032")</f>
        <v>06.02849-0032</v>
      </c>
      <c r="B383" s="13" t="str">
        <f>HYPERLINK("https://parts-sales.ru/parts/MAN/06028490032","Винт с плоской головкой M8X25SC-Z2-MK12-")</f>
        <v>Винт с плоской головкой M8X25SC-Z2-MK12-</v>
      </c>
      <c r="C383" s="5" t="s">
        <v>6</v>
      </c>
      <c r="D383" s="6">
        <v>440.4</v>
      </c>
      <c r="E383" s="6">
        <v>84</v>
      </c>
      <c r="F383" s="9">
        <v>0.81</v>
      </c>
      <c r="H383" s="11"/>
      <c r="I383" s="11"/>
      <c r="J383" s="11"/>
    </row>
    <row r="384" spans="1:10" ht="15.75" x14ac:dyDescent="0.3">
      <c r="A384" s="12" t="str">
        <f>HYPERLINK("https://parts-sales.ru/parts/MAN/06028490038","06.02849-0038")</f>
        <v>06.02849-0038</v>
      </c>
      <c r="B384" s="12" t="str">
        <f>HYPERLINK("https://parts-sales.ru/parts/MAN/06028490038","Стопорный винт с 6-гран. гол. M10X35C-MK")</f>
        <v>Стопорный винт с 6-гран. гол. M10X35C-MK</v>
      </c>
      <c r="C384" s="3" t="s">
        <v>6</v>
      </c>
      <c r="D384" s="4">
        <v>579.6</v>
      </c>
      <c r="E384" s="4">
        <v>111</v>
      </c>
      <c r="F384" s="8">
        <v>0.81</v>
      </c>
      <c r="H384" s="11"/>
      <c r="I384" s="11"/>
      <c r="J384" s="11"/>
    </row>
    <row r="385" spans="1:10" ht="15.75" x14ac:dyDescent="0.3">
      <c r="A385" s="13" t="str">
        <f>HYPERLINK("https://parts-sales.ru/parts/MAN/06028490046","06.02849-0046")</f>
        <v>06.02849-0046</v>
      </c>
      <c r="B385" s="13" t="str">
        <f>HYPERLINK("https://parts-sales.ru/parts/MAN/06028490046","Стопорный винт с 6-гран. гол. M10X60C-MK")</f>
        <v>Стопорный винт с 6-гран. гол. M10X60C-MK</v>
      </c>
      <c r="C385" s="5" t="s">
        <v>6</v>
      </c>
      <c r="D385" s="6">
        <v>692.4</v>
      </c>
      <c r="E385" s="6">
        <v>316</v>
      </c>
      <c r="F385" s="9">
        <v>0.54</v>
      </c>
      <c r="H385" s="11"/>
      <c r="I385" s="11"/>
      <c r="J385" s="11"/>
    </row>
    <row r="386" spans="1:10" ht="15.75" x14ac:dyDescent="0.3">
      <c r="A386" s="12" t="str">
        <f>HYPERLINK("https://parts-sales.ru/parts/MAN/06028490055","06.02849-0055")</f>
        <v>06.02849-0055</v>
      </c>
      <c r="B386" s="12" t="str">
        <f>HYPERLINK("https://parts-sales.ru/parts/MAN/06028490055","Стопорный винт с 6-гран. гол. M8X20L-MK1")</f>
        <v>Стопорный винт с 6-гран. гол. M8X20L-MK1</v>
      </c>
      <c r="C386" s="3" t="s">
        <v>6</v>
      </c>
      <c r="D386" s="4">
        <v>378</v>
      </c>
      <c r="E386" s="4">
        <v>67</v>
      </c>
      <c r="F386" s="8">
        <v>0.82</v>
      </c>
      <c r="H386" s="11"/>
      <c r="I386" s="11"/>
      <c r="J386" s="11"/>
    </row>
    <row r="387" spans="1:10" ht="15.75" x14ac:dyDescent="0.3">
      <c r="A387" s="13" t="str">
        <f>HYPERLINK("https://parts-sales.ru/parts/MAN/06028562720","06.02856-2720")</f>
        <v>06.02856-2720</v>
      </c>
      <c r="B387" s="13" t="str">
        <f>HYPERLINK("https://parts-sales.ru/parts/MAN/06028562720","Стопорный винт с 6-гран. гол. M16X1,5X85")</f>
        <v>Стопорный винт с 6-гран. гол. M16X1,5X85</v>
      </c>
      <c r="C387" s="5" t="s">
        <v>6</v>
      </c>
      <c r="D387" s="6">
        <v>1478.4</v>
      </c>
      <c r="E387" s="6">
        <v>204</v>
      </c>
      <c r="F387" s="9">
        <v>0.86</v>
      </c>
      <c r="H387" s="11"/>
      <c r="I387" s="11"/>
      <c r="J387" s="11"/>
    </row>
    <row r="388" spans="1:10" ht="15.75" x14ac:dyDescent="0.3">
      <c r="A388" s="12" t="str">
        <f>HYPERLINK("https://parts-sales.ru/parts/MAN/06028590012","06.02859-0012")</f>
        <v>06.02859-0012</v>
      </c>
      <c r="B388" s="12" t="str">
        <f>HYPERLINK("https://parts-sales.ru/parts/MAN/06028590012","Стопорный винт с 6-гран. гол. M14X1,5X45")</f>
        <v>Стопорный винт с 6-гран. гол. M14X1,5X45</v>
      </c>
      <c r="C388" s="3" t="s">
        <v>6</v>
      </c>
      <c r="D388" s="4">
        <v>379.2</v>
      </c>
      <c r="E388" s="4">
        <v>37</v>
      </c>
      <c r="F388" s="8">
        <v>0.9</v>
      </c>
      <c r="H388" s="11"/>
      <c r="I388" s="11"/>
      <c r="J388" s="11"/>
    </row>
    <row r="389" spans="1:10" ht="15.75" x14ac:dyDescent="0.3">
      <c r="A389" s="13" t="str">
        <f>HYPERLINK("https://parts-sales.ru/parts/MAN/06028590014","06.02859-0014")</f>
        <v>06.02859-0014</v>
      </c>
      <c r="B389" s="13" t="str">
        <f>HYPERLINK("https://parts-sales.ru/parts/MAN/06028590014","Стопорный винт с 6-гран. гол. M12X1,5X35")</f>
        <v>Стопорный винт с 6-гран. гол. M12X1,5X35</v>
      </c>
      <c r="C389" s="5" t="s">
        <v>6</v>
      </c>
      <c r="D389" s="6">
        <v>158.4</v>
      </c>
      <c r="E389" s="6">
        <v>38</v>
      </c>
      <c r="F389" s="9">
        <v>0.76</v>
      </c>
      <c r="H389" s="11"/>
      <c r="I389" s="11"/>
      <c r="J389" s="11"/>
    </row>
    <row r="390" spans="1:10" ht="15.75" x14ac:dyDescent="0.3">
      <c r="A390" s="12" t="str">
        <f>HYPERLINK("https://parts-sales.ru/parts/MAN/06028590016","06.02859-0016")</f>
        <v>06.02859-0016</v>
      </c>
      <c r="B390" s="12" t="str">
        <f>HYPERLINK("https://parts-sales.ru/parts/MAN/06028590016","Стопорный винт с 6-гран. гол. M16X1,5X85")</f>
        <v>Стопорный винт с 6-гран. гол. M16X1,5X85</v>
      </c>
      <c r="C390" s="3" t="s">
        <v>6</v>
      </c>
      <c r="D390" s="4">
        <v>636</v>
      </c>
      <c r="E390" s="4">
        <v>144</v>
      </c>
      <c r="F390" s="8">
        <v>0.77</v>
      </c>
      <c r="H390" s="11"/>
      <c r="I390" s="11"/>
      <c r="J390" s="11"/>
    </row>
    <row r="391" spans="1:10" ht="15.75" x14ac:dyDescent="0.3">
      <c r="A391" s="13" t="str">
        <f>HYPERLINK("https://parts-sales.ru/parts/MAN/06030790016","06.03079-0016")</f>
        <v>06.03079-0016</v>
      </c>
      <c r="B391" s="13" t="str">
        <f>HYPERLINK("https://parts-sales.ru/parts/MAN/06030790016","Винт с полукруг. низк. голов. M8X25-8.8-")</f>
        <v>Винт с полукруг. низк. голов. M8X25-8.8-</v>
      </c>
      <c r="C391" s="5" t="s">
        <v>6</v>
      </c>
      <c r="D391" s="6">
        <v>440.4</v>
      </c>
      <c r="E391" s="6">
        <v>85</v>
      </c>
      <c r="F391" s="9">
        <v>0.81</v>
      </c>
      <c r="H391" s="11"/>
      <c r="I391" s="11"/>
      <c r="J391" s="11"/>
    </row>
    <row r="392" spans="1:10" ht="15.75" x14ac:dyDescent="0.3">
      <c r="A392" s="12" t="str">
        <f>HYPERLINK("https://parts-sales.ru/parts/MAN/06032158307","06.03215-8307")</f>
        <v>06.03215-8307</v>
      </c>
      <c r="B392" s="12" t="str">
        <f>HYPERLINK("https://parts-sales.ru/parts/MAN/06032158307","6-гран. фланцевый винт M8X35-8.8-MAN183-")</f>
        <v>6-гран. фланцевый винт M8X35-8.8-MAN183-</v>
      </c>
      <c r="C392" s="3" t="s">
        <v>6</v>
      </c>
      <c r="D392" s="4">
        <v>277.2</v>
      </c>
      <c r="E392" s="4">
        <v>7</v>
      </c>
      <c r="F392" s="8">
        <v>0.97</v>
      </c>
      <c r="H392" s="11"/>
      <c r="I392" s="11"/>
      <c r="J392" s="11"/>
    </row>
    <row r="393" spans="1:10" ht="15.75" x14ac:dyDescent="0.3">
      <c r="A393" s="13" t="str">
        <f>HYPERLINK("https://parts-sales.ru/parts/MAN/06032158311","06.03215-8311")</f>
        <v>06.03215-8311</v>
      </c>
      <c r="B393" s="13" t="str">
        <f>HYPERLINK("https://parts-sales.ru/parts/MAN/06032158311","6-гран. фланцевый винт M8X55-8.8-MAN183-")</f>
        <v>6-гран. фланцевый винт M8X55-8.8-MAN183-</v>
      </c>
      <c r="C393" s="5" t="s">
        <v>6</v>
      </c>
      <c r="D393" s="6">
        <v>379.2</v>
      </c>
      <c r="E393" s="6">
        <v>93</v>
      </c>
      <c r="F393" s="9">
        <v>0.75</v>
      </c>
      <c r="H393" s="11"/>
      <c r="I393" s="11"/>
      <c r="J393" s="11"/>
    </row>
    <row r="394" spans="1:10" ht="15.75" x14ac:dyDescent="0.3">
      <c r="A394" s="12" t="str">
        <f>HYPERLINK("https://parts-sales.ru/parts/MAN/06032158312","06.03215-8312")</f>
        <v>06.03215-8312</v>
      </c>
      <c r="B394" s="12" t="str">
        <f>HYPERLINK("https://parts-sales.ru/parts/MAN/06032158312","6-гран. фланцевый винт M8X60-8.8-MAN183-")</f>
        <v>6-гран. фланцевый винт M8X60-8.8-MAN183-</v>
      </c>
      <c r="C394" s="3" t="s">
        <v>6</v>
      </c>
      <c r="D394" s="4">
        <v>374.4</v>
      </c>
      <c r="E394" s="4">
        <v>82</v>
      </c>
      <c r="F394" s="8">
        <v>0.78</v>
      </c>
      <c r="H394" s="11"/>
      <c r="I394" s="11"/>
      <c r="J394" s="11"/>
    </row>
    <row r="395" spans="1:10" ht="15.75" x14ac:dyDescent="0.3">
      <c r="A395" s="13" t="str">
        <f>HYPERLINK("https://parts-sales.ru/parts/MAN/06032158313","06.03215-8313")</f>
        <v>06.03215-8313</v>
      </c>
      <c r="B395" s="13" t="str">
        <f>HYPERLINK("https://parts-sales.ru/parts/MAN/06032158313","6-гран. фланцевый винт M8X65-8.8-MAN183-")</f>
        <v>6-гран. фланцевый винт M8X65-8.8-MAN183-</v>
      </c>
      <c r="C395" s="5" t="s">
        <v>6</v>
      </c>
      <c r="D395" s="6">
        <v>496.8</v>
      </c>
      <c r="E395" s="6">
        <v>96</v>
      </c>
      <c r="F395" s="9">
        <v>0.81</v>
      </c>
      <c r="H395" s="11"/>
      <c r="I395" s="11"/>
      <c r="J395" s="11"/>
    </row>
    <row r="396" spans="1:10" ht="15.75" x14ac:dyDescent="0.3">
      <c r="A396" s="12" t="str">
        <f>HYPERLINK("https://parts-sales.ru/parts/MAN/06032158314","06.03215-8314")</f>
        <v>06.03215-8314</v>
      </c>
      <c r="B396" s="12" t="str">
        <f>HYPERLINK("https://parts-sales.ru/parts/MAN/06032158314","6-гран. фланцевый винт M8X70-8.8-MAN183-")</f>
        <v>6-гран. фланцевый винт M8X70-8.8-MAN183-</v>
      </c>
      <c r="C396" s="3" t="s">
        <v>6</v>
      </c>
      <c r="D396" s="4">
        <v>496.8</v>
      </c>
      <c r="E396" s="4">
        <v>137</v>
      </c>
      <c r="F396" s="8">
        <v>0.72</v>
      </c>
      <c r="H396" s="11"/>
      <c r="I396" s="11"/>
      <c r="J396" s="11"/>
    </row>
    <row r="397" spans="1:10" ht="15.75" x14ac:dyDescent="0.3">
      <c r="A397" s="13" t="str">
        <f>HYPERLINK("https://parts-sales.ru/parts/MAN/06032158316","06.03215-8316")</f>
        <v>06.03215-8316</v>
      </c>
      <c r="B397" s="13" t="str">
        <f>HYPERLINK("https://parts-sales.ru/parts/MAN/06032158316","6-гран. фланцевый винт M8X90-8.8-MAN183-")</f>
        <v>6-гран. фланцевый винт M8X90-8.8-MAN183-</v>
      </c>
      <c r="C397" s="5" t="s">
        <v>6</v>
      </c>
      <c r="D397" s="6">
        <v>583.20000000000005</v>
      </c>
      <c r="E397" s="6">
        <v>62</v>
      </c>
      <c r="F397" s="9">
        <v>0.89</v>
      </c>
      <c r="H397" s="11"/>
      <c r="I397" s="11"/>
      <c r="J397" s="11"/>
    </row>
    <row r="398" spans="1:10" ht="15.75" x14ac:dyDescent="0.3">
      <c r="A398" s="12" t="str">
        <f>HYPERLINK("https://parts-sales.ru/parts/MAN/06032158317","06.03215-8317")</f>
        <v>06.03215-8317</v>
      </c>
      <c r="B398" s="12" t="str">
        <f>HYPERLINK("https://parts-sales.ru/parts/MAN/06032158317","6-гран. фланцевый винт M8X100-8.8-MAN183")</f>
        <v>6-гран. фланцевый винт M8X100-8.8-MAN183</v>
      </c>
      <c r="C398" s="3" t="s">
        <v>6</v>
      </c>
      <c r="D398" s="4">
        <v>612</v>
      </c>
      <c r="E398" s="4">
        <v>264</v>
      </c>
      <c r="F398" s="8">
        <v>0.56999999999999995</v>
      </c>
      <c r="H398" s="11"/>
      <c r="I398" s="11"/>
      <c r="J398" s="11"/>
    </row>
    <row r="399" spans="1:10" ht="15.75" x14ac:dyDescent="0.3">
      <c r="A399" s="13" t="str">
        <f>HYPERLINK("https://parts-sales.ru/parts/MAN/06032158403","06.03215-8403")</f>
        <v>06.03215-8403</v>
      </c>
      <c r="B399" s="13" t="str">
        <f>HYPERLINK("https://parts-sales.ru/parts/MAN/06032158403","6-гран. фланцевый винт M10X16-8.8-MAN183")</f>
        <v>6-гран. фланцевый винт M10X16-8.8-MAN183</v>
      </c>
      <c r="C399" s="5" t="s">
        <v>6</v>
      </c>
      <c r="D399" s="6">
        <v>277.2</v>
      </c>
      <c r="E399" s="6">
        <v>72</v>
      </c>
      <c r="F399" s="9">
        <v>0.74</v>
      </c>
      <c r="H399" s="11"/>
      <c r="I399" s="11"/>
      <c r="J399" s="11"/>
    </row>
    <row r="400" spans="1:10" ht="15.75" x14ac:dyDescent="0.3">
      <c r="A400" s="12" t="str">
        <f>HYPERLINK("https://parts-sales.ru/parts/MAN/06032158406","06.03215-8406")</f>
        <v>06.03215-8406</v>
      </c>
      <c r="B400" s="12" t="str">
        <f>HYPERLINK("https://parts-sales.ru/parts/MAN/06032158406","6-гран. фланцевый винт M10X30-8.8-MAN183")</f>
        <v>6-гран. фланцевый винт M10X30-8.8-MAN183</v>
      </c>
      <c r="C400" s="3" t="s">
        <v>6</v>
      </c>
      <c r="D400" s="4">
        <v>354</v>
      </c>
      <c r="E400" s="4">
        <v>75</v>
      </c>
      <c r="F400" s="8">
        <v>0.79</v>
      </c>
      <c r="H400" s="11"/>
      <c r="I400" s="11"/>
      <c r="J400" s="11"/>
    </row>
    <row r="401" spans="1:10" ht="15.75" x14ac:dyDescent="0.3">
      <c r="A401" s="13" t="str">
        <f>HYPERLINK("https://parts-sales.ru/parts/MAN/06032158408","06.03215-8408")</f>
        <v>06.03215-8408</v>
      </c>
      <c r="B401" s="13" t="str">
        <f>HYPERLINK("https://parts-sales.ru/parts/MAN/06032158408","6-гран. фланцевый винт M10X40-8.8-MAN183")</f>
        <v>6-гран. фланцевый винт M10X40-8.8-MAN183</v>
      </c>
      <c r="C401" s="5" t="s">
        <v>6</v>
      </c>
      <c r="D401" s="6">
        <v>378</v>
      </c>
      <c r="E401" s="6">
        <v>118</v>
      </c>
      <c r="F401" s="9">
        <v>0.69</v>
      </c>
      <c r="H401" s="11"/>
      <c r="I401" s="11"/>
      <c r="J401" s="11"/>
    </row>
    <row r="402" spans="1:10" ht="15.75" x14ac:dyDescent="0.3">
      <c r="A402" s="12" t="str">
        <f>HYPERLINK("https://parts-sales.ru/parts/MAN/06032158416","06.03215-8416")</f>
        <v>06.03215-8416</v>
      </c>
      <c r="B402" s="12" t="str">
        <f>HYPERLINK("https://parts-sales.ru/parts/MAN/06032158416","6-гран. фланцевый винт M10X90-8.8-MAN183")</f>
        <v>6-гран. фланцевый винт M10X90-8.8-MAN183</v>
      </c>
      <c r="C402" s="3" t="s">
        <v>6</v>
      </c>
      <c r="D402" s="4">
        <v>435.6</v>
      </c>
      <c r="E402" s="4">
        <v>107</v>
      </c>
      <c r="F402" s="8">
        <v>0.75</v>
      </c>
      <c r="H402" s="11"/>
      <c r="I402" s="11"/>
      <c r="J402" s="11"/>
    </row>
    <row r="403" spans="1:10" ht="15.75" x14ac:dyDescent="0.3">
      <c r="A403" s="13" t="str">
        <f>HYPERLINK("https://parts-sales.ru/parts/MAN/06032168203","06.03216-8203")</f>
        <v>06.03216-8203</v>
      </c>
      <c r="B403" s="13" t="str">
        <f>HYPERLINK("https://parts-sales.ru/parts/MAN/06032168203","6-гран. фланцевый винт M6X16-10.9-MAN183")</f>
        <v>6-гран. фланцевый винт M6X16-10.9-MAN183</v>
      </c>
      <c r="C403" s="5" t="s">
        <v>6</v>
      </c>
      <c r="D403" s="6">
        <v>250.8</v>
      </c>
      <c r="E403" s="6">
        <v>80</v>
      </c>
      <c r="F403" s="9">
        <v>0.68</v>
      </c>
      <c r="H403" s="11"/>
      <c r="I403" s="11"/>
      <c r="J403" s="11"/>
    </row>
    <row r="404" spans="1:10" ht="15.75" x14ac:dyDescent="0.3">
      <c r="A404" s="12" t="str">
        <f>HYPERLINK("https://parts-sales.ru/parts/MAN/06032168205","06.03216-8205")</f>
        <v>06.03216-8205</v>
      </c>
      <c r="B404" s="12" t="str">
        <f>HYPERLINK("https://parts-sales.ru/parts/MAN/06032168205","6-гран. фланцевый винт M6X25-10.9-MAN183")</f>
        <v>6-гран. фланцевый винт M6X25-10.9-MAN183</v>
      </c>
      <c r="C404" s="3" t="s">
        <v>6</v>
      </c>
      <c r="D404" s="4">
        <v>216</v>
      </c>
      <c r="E404" s="4">
        <v>47</v>
      </c>
      <c r="F404" s="8">
        <v>0.78</v>
      </c>
      <c r="H404" s="11"/>
      <c r="I404" s="11"/>
      <c r="J404" s="11"/>
    </row>
    <row r="405" spans="1:10" ht="15.75" x14ac:dyDescent="0.3">
      <c r="A405" s="13" t="str">
        <f>HYPERLINK("https://parts-sales.ru/parts/MAN/06032168331","06.03216-8331")</f>
        <v>06.03216-8331</v>
      </c>
      <c r="B405" s="13" t="str">
        <f>HYPERLINK("https://parts-sales.ru/parts/MAN/06032168331","6-гран. фланцевый винт M8X75-10.9-MAN183")</f>
        <v>6-гран. фланцевый винт M8X75-10.9-MAN183</v>
      </c>
      <c r="C405" s="5" t="s">
        <v>6</v>
      </c>
      <c r="D405" s="6">
        <v>519.6</v>
      </c>
      <c r="E405" s="6">
        <v>171</v>
      </c>
      <c r="F405" s="9">
        <v>0.67</v>
      </c>
      <c r="H405" s="11"/>
      <c r="I405" s="11"/>
      <c r="J405" s="11"/>
    </row>
    <row r="406" spans="1:10" ht="15.75" x14ac:dyDescent="0.3">
      <c r="A406" s="12" t="str">
        <f>HYPERLINK("https://parts-sales.ru/parts/MAN/06032168409","06.03216-8409")</f>
        <v>06.03216-8409</v>
      </c>
      <c r="B406" s="12" t="str">
        <f>HYPERLINK("https://parts-sales.ru/parts/MAN/06032168409","6-гран. фланцевый винт M10X45-10.9-MAN18")</f>
        <v>6-гран. фланцевый винт M10X45-10.9-MAN18</v>
      </c>
      <c r="C406" s="3" t="s">
        <v>6</v>
      </c>
      <c r="D406" s="4">
        <v>406.8</v>
      </c>
      <c r="E406" s="4">
        <v>61</v>
      </c>
      <c r="F406" s="8">
        <v>0.85</v>
      </c>
      <c r="H406" s="11"/>
      <c r="I406" s="11"/>
      <c r="J406" s="11"/>
    </row>
    <row r="407" spans="1:10" ht="15.75" x14ac:dyDescent="0.3">
      <c r="A407" s="13" t="str">
        <f>HYPERLINK("https://parts-sales.ru/parts/MAN/06032168410","06.03216-8410")</f>
        <v>06.03216-8410</v>
      </c>
      <c r="B407" s="13" t="str">
        <f>HYPERLINK("https://parts-sales.ru/parts/MAN/06032168410","6-гран. фланцевый винт M10X50-10.9-MAN18")</f>
        <v>6-гран. фланцевый винт M10X50-10.9-MAN18</v>
      </c>
      <c r="C407" s="5" t="s">
        <v>6</v>
      </c>
      <c r="D407" s="6">
        <v>656.4</v>
      </c>
      <c r="E407" s="6">
        <v>91</v>
      </c>
      <c r="F407" s="9">
        <v>0.86</v>
      </c>
      <c r="H407" s="11"/>
      <c r="I407" s="11"/>
      <c r="J407" s="11"/>
    </row>
    <row r="408" spans="1:10" ht="15.75" x14ac:dyDescent="0.3">
      <c r="A408" s="12" t="str">
        <f>HYPERLINK("https://parts-sales.ru/parts/MAN/06032168413","06.03216-8413")</f>
        <v>06.03216-8413</v>
      </c>
      <c r="B408" s="12" t="str">
        <f>HYPERLINK("https://parts-sales.ru/parts/MAN/06032168413","6-гран. фланцевый винт M10X65-10.9-MAN18")</f>
        <v>6-гран. фланцевый винт M10X65-10.9-MAN18</v>
      </c>
      <c r="C408" s="3" t="s">
        <v>6</v>
      </c>
      <c r="D408" s="4">
        <v>502.8</v>
      </c>
      <c r="E408" s="4">
        <v>108</v>
      </c>
      <c r="F408" s="8">
        <v>0.79</v>
      </c>
      <c r="H408" s="11"/>
      <c r="I408" s="11"/>
      <c r="J408" s="11"/>
    </row>
    <row r="409" spans="1:10" ht="15.75" x14ac:dyDescent="0.3">
      <c r="A409" s="13" t="str">
        <f>HYPERLINK("https://parts-sales.ru/parts/MAN/06032168507","06.03216-8507")</f>
        <v>06.03216-8507</v>
      </c>
      <c r="B409" s="13" t="str">
        <f>HYPERLINK("https://parts-sales.ru/parts/MAN/06032168507","6-гран. фланцевый винт M12X35-10.9-MAN18")</f>
        <v>6-гран. фланцевый винт M12X35-10.9-MAN18</v>
      </c>
      <c r="C409" s="5" t="s">
        <v>6</v>
      </c>
      <c r="D409" s="6">
        <v>1320</v>
      </c>
      <c r="E409" s="6">
        <v>403</v>
      </c>
      <c r="F409" s="9">
        <v>0.69</v>
      </c>
      <c r="H409" s="11"/>
      <c r="I409" s="11"/>
      <c r="J409" s="11"/>
    </row>
    <row r="410" spans="1:10" ht="15.75" x14ac:dyDescent="0.3">
      <c r="A410" s="12" t="str">
        <f>HYPERLINK("https://parts-sales.ru/parts/MAN/06032168509","06.03216-8509")</f>
        <v>06.03216-8509</v>
      </c>
      <c r="B410" s="12" t="str">
        <f>HYPERLINK("https://parts-sales.ru/parts/MAN/06032168509","6-гран. фланцевый винт M12X45-10.9-MAN18")</f>
        <v>6-гран. фланцевый винт M12X45-10.9-MAN18</v>
      </c>
      <c r="C410" s="3" t="s">
        <v>6</v>
      </c>
      <c r="D410" s="4">
        <v>730.8</v>
      </c>
      <c r="E410" s="4">
        <v>104</v>
      </c>
      <c r="F410" s="8">
        <v>0.86</v>
      </c>
      <c r="H410" s="11"/>
      <c r="I410" s="11"/>
      <c r="J410" s="11"/>
    </row>
    <row r="411" spans="1:10" ht="15.75" x14ac:dyDescent="0.3">
      <c r="A411" s="13" t="str">
        <f>HYPERLINK("https://parts-sales.ru/parts/MAN/06032168510","06.03216-8510")</f>
        <v>06.03216-8510</v>
      </c>
      <c r="B411" s="13" t="str">
        <f>HYPERLINK("https://parts-sales.ru/parts/MAN/06032168510","6-гран. фланцевый винт M12X50-10.9-MAN18")</f>
        <v>6-гран. фланцевый винт M12X50-10.9-MAN18</v>
      </c>
      <c r="C411" s="5" t="s">
        <v>6</v>
      </c>
      <c r="D411" s="6">
        <v>559.20000000000005</v>
      </c>
      <c r="E411" s="6">
        <v>85</v>
      </c>
      <c r="F411" s="9">
        <v>0.85</v>
      </c>
      <c r="H411" s="11"/>
      <c r="I411" s="11"/>
      <c r="J411" s="11"/>
    </row>
    <row r="412" spans="1:10" ht="15.75" x14ac:dyDescent="0.3">
      <c r="A412" s="12" t="str">
        <f>HYPERLINK("https://parts-sales.ru/parts/MAN/06032168520","06.03216-8520")</f>
        <v>06.03216-8520</v>
      </c>
      <c r="B412" s="12" t="str">
        <f>HYPERLINK("https://parts-sales.ru/parts/MAN/06032168520","6-гран. фланцевый винт M12X130-10.9-MAN1")</f>
        <v>6-гран. фланцевый винт M12X130-10.9-MAN1</v>
      </c>
      <c r="C412" s="3" t="s">
        <v>6</v>
      </c>
      <c r="D412" s="4">
        <v>759.6</v>
      </c>
      <c r="E412" s="4">
        <v>211</v>
      </c>
      <c r="F412" s="8">
        <v>0.72</v>
      </c>
      <c r="H412" s="11"/>
      <c r="I412" s="11"/>
      <c r="J412" s="11"/>
    </row>
    <row r="413" spans="1:10" ht="15.75" x14ac:dyDescent="0.3">
      <c r="A413" s="13" t="str">
        <f>HYPERLINK("https://parts-sales.ru/parts/MAN/06032168531","06.03216-8531")</f>
        <v>06.03216-8531</v>
      </c>
      <c r="B413" s="13" t="str">
        <f>HYPERLINK("https://parts-sales.ru/parts/MAN/06032168531","6-гран. фланцевый винт M12X75-10.9-MAN18")</f>
        <v>6-гран. фланцевый винт M12X75-10.9-MAN18</v>
      </c>
      <c r="C413" s="5" t="s">
        <v>6</v>
      </c>
      <c r="D413" s="6">
        <v>577.20000000000005</v>
      </c>
      <c r="E413" s="6">
        <v>109</v>
      </c>
      <c r="F413" s="9">
        <v>0.81</v>
      </c>
      <c r="H413" s="11"/>
      <c r="I413" s="11"/>
      <c r="J413" s="11"/>
    </row>
    <row r="414" spans="1:10" ht="15.75" x14ac:dyDescent="0.3">
      <c r="A414" s="12" t="str">
        <f>HYPERLINK("https://parts-sales.ru/parts/MAN/06032168605","06.03216-8605")</f>
        <v>06.03216-8605</v>
      </c>
      <c r="B414" s="12" t="str">
        <f>HYPERLINK("https://parts-sales.ru/parts/MAN/06032168605","6-гран. фланцевый винт M14X25-10.9-MAN18")</f>
        <v>6-гран. фланцевый винт M14X25-10.9-MAN18</v>
      </c>
      <c r="C414" s="3" t="s">
        <v>6</v>
      </c>
      <c r="D414" s="4">
        <v>746.4</v>
      </c>
      <c r="E414" s="4">
        <v>98</v>
      </c>
      <c r="F414" s="8">
        <v>0.87</v>
      </c>
      <c r="H414" s="11"/>
      <c r="I414" s="11"/>
      <c r="J414" s="11"/>
    </row>
    <row r="415" spans="1:10" ht="15.75" x14ac:dyDescent="0.3">
      <c r="A415" s="13" t="str">
        <f>HYPERLINK("https://parts-sales.ru/parts/MAN/06032169323","06.03216-9323")</f>
        <v>06.03216-9323</v>
      </c>
      <c r="B415" s="13" t="str">
        <f>HYPERLINK("https://parts-sales.ru/parts/MAN/06032169323","6-гран. фланцевый винт M14X1,5X160-10.9-")</f>
        <v>6-гран. фланцевый винт M14X1,5X160-10.9-</v>
      </c>
      <c r="C415" s="5" t="s">
        <v>6</v>
      </c>
      <c r="D415" s="6">
        <v>1588.8</v>
      </c>
      <c r="E415" s="6">
        <v>58</v>
      </c>
      <c r="F415" s="9">
        <v>0.96</v>
      </c>
      <c r="H415" s="11"/>
      <c r="I415" s="11"/>
      <c r="J415" s="11"/>
    </row>
    <row r="416" spans="1:10" ht="15.75" x14ac:dyDescent="0.3">
      <c r="A416" s="12" t="str">
        <f>HYPERLINK("https://parts-sales.ru/parts/MAN/06032169339","06.03216-9339")</f>
        <v>06.03216-9339</v>
      </c>
      <c r="B416" s="12" t="str">
        <f>HYPERLINK("https://parts-sales.ru/parts/MAN/06032169339","6-гран. фланцевый винт M14X1,5X145-10.9-")</f>
        <v>6-гран. фланцевый винт M14X1,5X145-10.9-</v>
      </c>
      <c r="C416" s="3" t="s">
        <v>6</v>
      </c>
      <c r="D416" s="4">
        <v>1406.4</v>
      </c>
      <c r="E416" s="4">
        <v>58</v>
      </c>
      <c r="F416" s="8">
        <v>0.96</v>
      </c>
      <c r="H416" s="11"/>
      <c r="I416" s="11"/>
      <c r="J416" s="11"/>
    </row>
    <row r="417" spans="1:10" ht="15.75" x14ac:dyDescent="0.3">
      <c r="A417" s="13" t="str">
        <f>HYPERLINK("https://parts-sales.ru/parts/MAN/06032178313","06.03217-8313")</f>
        <v>06.03217-8313</v>
      </c>
      <c r="B417" s="13" t="str">
        <f>HYPERLINK("https://parts-sales.ru/parts/MAN/06032178313","6-гран. фланцевый винт M8X65-12.9-MAN183")</f>
        <v>6-гран. фланцевый винт M8X65-12.9-MAN183</v>
      </c>
      <c r="C417" s="5" t="s">
        <v>6</v>
      </c>
      <c r="D417" s="6">
        <v>435.6</v>
      </c>
      <c r="E417" s="6">
        <v>109</v>
      </c>
      <c r="F417" s="9">
        <v>0.75</v>
      </c>
      <c r="H417" s="11"/>
      <c r="I417" s="11"/>
      <c r="J417" s="11"/>
    </row>
    <row r="418" spans="1:10" ht="15.75" x14ac:dyDescent="0.3">
      <c r="A418" s="12" t="str">
        <f>HYPERLINK("https://parts-sales.ru/parts/MAN/06032190016","06.03219-0016")</f>
        <v>06.03219-0016</v>
      </c>
      <c r="B418" s="12" t="str">
        <f>HYPERLINK("https://parts-sales.ru/parts/MAN/06032190016","6-гран. фланцевый винт M8X130-SD-HOCHWAR")</f>
        <v>6-гран. фланцевый винт M8X130-SD-HOCHWAR</v>
      </c>
      <c r="C418" s="3" t="s">
        <v>6</v>
      </c>
      <c r="D418" s="4">
        <v>6481.2</v>
      </c>
      <c r="E418" s="4">
        <v>1745</v>
      </c>
      <c r="F418" s="8">
        <v>0.73</v>
      </c>
      <c r="H418" s="11"/>
      <c r="I418" s="11"/>
      <c r="J418" s="11"/>
    </row>
    <row r="419" spans="1:10" ht="15.75" x14ac:dyDescent="0.3">
      <c r="A419" s="13" t="str">
        <f>HYPERLINK("https://parts-sales.ru/parts/MAN/06032190017","06.03219-0017")</f>
        <v>06.03219-0017</v>
      </c>
      <c r="B419" s="13" t="str">
        <f>HYPERLINK("https://parts-sales.ru/parts/MAN/06032190017","Стопорный винт с 6-гран. гол. M12X1,5X38")</f>
        <v>Стопорный винт с 6-гран. гол. M12X1,5X38</v>
      </c>
      <c r="C419" s="5" t="s">
        <v>6</v>
      </c>
      <c r="D419" s="6">
        <v>754.8</v>
      </c>
      <c r="E419" s="6">
        <v>168</v>
      </c>
      <c r="F419" s="9">
        <v>0.78</v>
      </c>
      <c r="H419" s="11"/>
      <c r="I419" s="11"/>
      <c r="J419" s="11"/>
    </row>
    <row r="420" spans="1:10" ht="15.75" x14ac:dyDescent="0.3">
      <c r="A420" s="12" t="str">
        <f>HYPERLINK("https://parts-sales.ru/parts/MAN/06032190067","06.03219-0067")</f>
        <v>06.03219-0067</v>
      </c>
      <c r="B420" s="12" t="str">
        <f>HYPERLINK("https://parts-sales.ru/parts/MAN/06032190067","6-гран. фланцевый винт M6X95-8.8-B3-IF")</f>
        <v>6-гран. фланцевый винт M6X95-8.8-B3-IF</v>
      </c>
      <c r="C420" s="3" t="s">
        <v>6</v>
      </c>
      <c r="D420" s="4">
        <v>206.4</v>
      </c>
      <c r="E420" s="4">
        <v>75</v>
      </c>
      <c r="F420" s="8">
        <v>0.64</v>
      </c>
      <c r="H420" s="11"/>
      <c r="I420" s="11"/>
      <c r="J420" s="11"/>
    </row>
    <row r="421" spans="1:10" ht="15.75" x14ac:dyDescent="0.3">
      <c r="A421" s="13" t="str">
        <f>HYPERLINK("https://parts-sales.ru/parts/MAN/06032190074","06.03219-0074")</f>
        <v>06.03219-0074</v>
      </c>
      <c r="B421" s="13" t="str">
        <f>HYPERLINK("https://parts-sales.ru/parts/MAN/06032190074","6-гран. фланцевый винт M10X50-8.8-B3-IF")</f>
        <v>6-гран. фланцевый винт M10X50-8.8-B3-IF</v>
      </c>
      <c r="C421" s="5" t="s">
        <v>6</v>
      </c>
      <c r="D421" s="6">
        <v>86.4</v>
      </c>
      <c r="E421" s="6">
        <v>23</v>
      </c>
      <c r="F421" s="9">
        <v>0.73</v>
      </c>
      <c r="H421" s="11"/>
      <c r="I421" s="11"/>
      <c r="J421" s="11"/>
    </row>
    <row r="422" spans="1:10" ht="15.75" x14ac:dyDescent="0.3">
      <c r="A422" s="12" t="str">
        <f>HYPERLINK("https://parts-sales.ru/parts/MAN/06032190075","06.03219-0075")</f>
        <v>06.03219-0075</v>
      </c>
      <c r="B422" s="12" t="str">
        <f>HYPERLINK("https://parts-sales.ru/parts/MAN/06032190075","6-гран. фланцевый винт M10X30-8.8-B3-IF")</f>
        <v>6-гран. фланцевый винт M10X30-8.8-B3-IF</v>
      </c>
      <c r="C422" s="3" t="s">
        <v>6</v>
      </c>
      <c r="D422" s="4">
        <v>86.4</v>
      </c>
      <c r="E422" s="4">
        <v>23</v>
      </c>
      <c r="F422" s="8">
        <v>0.73</v>
      </c>
      <c r="H422" s="11"/>
      <c r="I422" s="11"/>
      <c r="J422" s="11"/>
    </row>
    <row r="423" spans="1:10" ht="15.75" x14ac:dyDescent="0.3">
      <c r="A423" s="13" t="str">
        <f>HYPERLINK("https://parts-sales.ru/parts/MAN/06032190080","06.03219-0080")</f>
        <v>06.03219-0080</v>
      </c>
      <c r="B423" s="13" t="str">
        <f>HYPERLINK("https://parts-sales.ru/parts/MAN/06032190080","6-гран. фланцевый винт M6X16-8.8-B3-IF")</f>
        <v>6-гран. фланцевый винт M6X16-8.8-B3-IF</v>
      </c>
      <c r="C423" s="5" t="s">
        <v>6</v>
      </c>
      <c r="D423" s="6">
        <v>26.4</v>
      </c>
      <c r="E423" s="6">
        <v>8</v>
      </c>
      <c r="F423" s="9">
        <v>0.7</v>
      </c>
      <c r="H423" s="11"/>
      <c r="I423" s="11"/>
      <c r="J423" s="11"/>
    </row>
    <row r="424" spans="1:10" ht="15.75" x14ac:dyDescent="0.3">
      <c r="A424" s="12" t="str">
        <f>HYPERLINK("https://parts-sales.ru/parts/MAN/06032190082","06.03219-0082")</f>
        <v>06.03219-0082</v>
      </c>
      <c r="B424" s="12" t="str">
        <f>HYPERLINK("https://parts-sales.ru/parts/MAN/06032190082","6-гран. фланцевый винт M10X70-8.8-B3-IF")</f>
        <v>6-гран. фланцевый винт M10X70-8.8-B3-IF</v>
      </c>
      <c r="C424" s="3" t="s">
        <v>6</v>
      </c>
      <c r="D424" s="4">
        <v>86.4</v>
      </c>
      <c r="E424" s="4">
        <v>23</v>
      </c>
      <c r="F424" s="8">
        <v>0.73</v>
      </c>
      <c r="H424" s="11"/>
      <c r="I424" s="11"/>
      <c r="J424" s="11"/>
    </row>
    <row r="425" spans="1:10" ht="15.75" x14ac:dyDescent="0.3">
      <c r="A425" s="13" t="str">
        <f>HYPERLINK("https://parts-sales.ru/parts/MAN/06032190085","06.03219-0085")</f>
        <v>06.03219-0085</v>
      </c>
      <c r="B425" s="13" t="str">
        <f>HYPERLINK("https://parts-sales.ru/parts/MAN/06032190085","6-гран. фланцевый винт M8X30-8.8-B3-IF")</f>
        <v>6-гран. фланцевый винт M8X30-8.8-B3-IF</v>
      </c>
      <c r="C425" s="5" t="s">
        <v>6</v>
      </c>
      <c r="D425" s="6">
        <v>68.400000000000006</v>
      </c>
      <c r="E425" s="6">
        <v>18</v>
      </c>
      <c r="F425" s="9">
        <v>0.74</v>
      </c>
      <c r="H425" s="11"/>
      <c r="I425" s="11"/>
      <c r="J425" s="11"/>
    </row>
    <row r="426" spans="1:10" ht="15.75" x14ac:dyDescent="0.3">
      <c r="A426" s="12" t="str">
        <f>HYPERLINK("https://parts-sales.ru/parts/MAN/06032190086","06.03219-0086")</f>
        <v>06.03219-0086</v>
      </c>
      <c r="B426" s="12" t="str">
        <f>HYPERLINK("https://parts-sales.ru/parts/MAN/06032190086","6-гран. фланцевый винт M8X16-8.8-B3-IF")</f>
        <v>6-гран. фланцевый винт M8X16-8.8-B3-IF</v>
      </c>
      <c r="C426" s="3" t="s">
        <v>6</v>
      </c>
      <c r="D426" s="4">
        <v>52.8</v>
      </c>
      <c r="E426" s="4">
        <v>14</v>
      </c>
      <c r="F426" s="8">
        <v>0.73</v>
      </c>
      <c r="H426" s="11"/>
      <c r="I426" s="11"/>
      <c r="J426" s="11"/>
    </row>
    <row r="427" spans="1:10" ht="15.75" x14ac:dyDescent="0.3">
      <c r="A427" s="13" t="str">
        <f>HYPERLINK("https://parts-sales.ru/parts/MAN/06032194507","06.03219-4507")</f>
        <v>06.03219-4507</v>
      </c>
      <c r="B427" s="13" t="str">
        <f>HYPERLINK("https://parts-sales.ru/parts/MAN/06032194507","6-гран. фланцевый винт M12X1,5X35-A4-80")</f>
        <v>6-гран. фланцевый винт M12X1,5X35-A4-80</v>
      </c>
      <c r="C427" s="5" t="s">
        <v>6</v>
      </c>
      <c r="D427" s="6">
        <v>889.2</v>
      </c>
      <c r="E427" s="6">
        <v>31</v>
      </c>
      <c r="F427" s="9">
        <v>0.97</v>
      </c>
      <c r="H427" s="11"/>
      <c r="I427" s="11"/>
      <c r="J427" s="11"/>
    </row>
    <row r="428" spans="1:10" ht="15.75" x14ac:dyDescent="0.3">
      <c r="A428" s="12" t="str">
        <f>HYPERLINK("https://parts-sales.ru/parts/MAN/06032210612","06.03221-0612")</f>
        <v>06.03221-0612</v>
      </c>
      <c r="B428" s="12" t="str">
        <f>HYPERLINK("https://parts-sales.ru/parts/MAN/06032210612","Болт BM8X55-8.8-MAN183-PHR")</f>
        <v>Болт BM8X55-8.8-MAN183-PHR</v>
      </c>
      <c r="C428" s="3" t="s">
        <v>6</v>
      </c>
      <c r="D428" s="4">
        <v>651.6</v>
      </c>
      <c r="E428" s="4">
        <v>128</v>
      </c>
      <c r="F428" s="8">
        <v>0.8</v>
      </c>
      <c r="H428" s="11"/>
      <c r="I428" s="11"/>
      <c r="J428" s="11"/>
    </row>
    <row r="429" spans="1:10" ht="15.75" x14ac:dyDescent="0.3">
      <c r="A429" s="13" t="str">
        <f>HYPERLINK("https://parts-sales.ru/parts/MAN/06032210620","06.03221-0620")</f>
        <v>06.03221-0620</v>
      </c>
      <c r="B429" s="13" t="str">
        <f>HYPERLINK("https://parts-sales.ru/parts/MAN/06032210620","Болт BM8X95-8.8-MAN183-PHR")</f>
        <v>Болт BM8X95-8.8-MAN183-PHR</v>
      </c>
      <c r="C429" s="5" t="s">
        <v>6</v>
      </c>
      <c r="D429" s="6">
        <v>1698</v>
      </c>
      <c r="E429" s="6">
        <v>283</v>
      </c>
      <c r="F429" s="9">
        <v>0.83</v>
      </c>
      <c r="H429" s="11"/>
      <c r="I429" s="11"/>
      <c r="J429" s="11"/>
    </row>
    <row r="430" spans="1:10" ht="15.75" x14ac:dyDescent="0.3">
      <c r="A430" s="12" t="str">
        <f>HYPERLINK("https://parts-sales.ru/parts/MAN/06032290006","06.03229-0006")</f>
        <v>06.03229-0006</v>
      </c>
      <c r="B430" s="12" t="str">
        <f>HYPERLINK("https://parts-sales.ru/parts/MAN/06032290006","Болт BM6X16-8.8-ZNNI8/CN/T0")</f>
        <v>Болт BM6X16-8.8-ZNNI8/CN/T0</v>
      </c>
      <c r="C430" s="3" t="s">
        <v>6</v>
      </c>
      <c r="D430" s="4">
        <v>308.39999999999998</v>
      </c>
      <c r="E430" s="4">
        <v>60</v>
      </c>
      <c r="F430" s="8">
        <v>0.81</v>
      </c>
      <c r="H430" s="11"/>
      <c r="I430" s="11"/>
      <c r="J430" s="11"/>
    </row>
    <row r="431" spans="1:10" ht="15.75" x14ac:dyDescent="0.3">
      <c r="A431" s="13" t="str">
        <f>HYPERLINK("https://parts-sales.ru/parts/MAN/06032290009","06.03229-0009")</f>
        <v>06.03229-0009</v>
      </c>
      <c r="B431" s="13" t="str">
        <f>HYPERLINK("https://parts-sales.ru/parts/MAN/06032290009","Болт M16X1,5X55MK-10.9-E20-MAN183-B")</f>
        <v>Болт M16X1,5X55MK-10.9-E20-MAN183-B</v>
      </c>
      <c r="C431" s="5" t="s">
        <v>6</v>
      </c>
      <c r="D431" s="6">
        <v>2295.6</v>
      </c>
      <c r="E431" s="6">
        <v>39</v>
      </c>
      <c r="F431" s="9">
        <v>0.98</v>
      </c>
      <c r="H431" s="11"/>
      <c r="I431" s="11"/>
      <c r="J431" s="11"/>
    </row>
    <row r="432" spans="1:10" ht="15.75" x14ac:dyDescent="0.3">
      <c r="A432" s="12" t="str">
        <f>HYPERLINK("https://parts-sales.ru/parts/MAN/06042012405","06.04201-2405")</f>
        <v>06.04201-2405</v>
      </c>
      <c r="B432" s="12" t="str">
        <f>HYPERLINK("https://parts-sales.ru/parts/MAN/06042012405","Винт с плоской головкой M4X10-4.8-H-MAN1")</f>
        <v>Винт с плоской головкой M4X10-4.8-H-MAN1</v>
      </c>
      <c r="C432" s="3" t="s">
        <v>6</v>
      </c>
      <c r="D432" s="4">
        <v>129.6</v>
      </c>
      <c r="E432" s="4">
        <v>27</v>
      </c>
      <c r="F432" s="8">
        <v>0.79</v>
      </c>
      <c r="H432" s="11"/>
      <c r="I432" s="11"/>
      <c r="J432" s="11"/>
    </row>
    <row r="433" spans="1:10" ht="15.75" x14ac:dyDescent="0.3">
      <c r="A433" s="13" t="str">
        <f>HYPERLINK("https://parts-sales.ru/parts/MAN/06042012406","06.04201-2406")</f>
        <v>06.04201-2406</v>
      </c>
      <c r="B433" s="13" t="str">
        <f>HYPERLINK("https://parts-sales.ru/parts/MAN/06042012406","Винт с плоской головкой M4X12-4.8-H-MAN1")</f>
        <v>Винт с плоской головкой M4X12-4.8-H-MAN1</v>
      </c>
      <c r="C433" s="5" t="s">
        <v>6</v>
      </c>
      <c r="D433" s="6">
        <v>55.2</v>
      </c>
      <c r="E433" s="6">
        <v>12</v>
      </c>
      <c r="F433" s="9">
        <v>0.78</v>
      </c>
      <c r="H433" s="11"/>
      <c r="I433" s="11"/>
      <c r="J433" s="11"/>
    </row>
    <row r="434" spans="1:10" ht="15.75" x14ac:dyDescent="0.3">
      <c r="A434" s="12" t="str">
        <f>HYPERLINK("https://parts-sales.ru/parts/MAN/06042012409","06.04201-2409")</f>
        <v>06.04201-2409</v>
      </c>
      <c r="B434" s="12" t="str">
        <f>HYPERLINK("https://parts-sales.ru/parts/MAN/06042012409","Винт с плоской головкой M4X20-4.8-H-MAN1")</f>
        <v>Винт с плоской головкой M4X20-4.8-H-MAN1</v>
      </c>
      <c r="C434" s="3" t="s">
        <v>6</v>
      </c>
      <c r="D434" s="4">
        <v>52.8</v>
      </c>
      <c r="E434" s="4">
        <v>10</v>
      </c>
      <c r="F434" s="8">
        <v>0.81</v>
      </c>
      <c r="H434" s="11"/>
      <c r="I434" s="11"/>
      <c r="J434" s="11"/>
    </row>
    <row r="435" spans="1:10" ht="15.75" x14ac:dyDescent="0.3">
      <c r="A435" s="13" t="str">
        <f>HYPERLINK("https://parts-sales.ru/parts/MAN/06042012411","06.04201-2411")</f>
        <v>06.04201-2411</v>
      </c>
      <c r="B435" s="13" t="str">
        <f>HYPERLINK("https://parts-sales.ru/parts/MAN/06042012411","Винт с плоской головкой M4X25-4.8-H-MAN1")</f>
        <v>Винт с плоской головкой M4X25-4.8-H-MAN1</v>
      </c>
      <c r="C435" s="5" t="s">
        <v>6</v>
      </c>
      <c r="D435" s="6">
        <v>109.2</v>
      </c>
      <c r="E435" s="6">
        <v>18</v>
      </c>
      <c r="F435" s="9">
        <v>0.84</v>
      </c>
      <c r="H435" s="11"/>
      <c r="I435" s="11"/>
      <c r="J435" s="11"/>
    </row>
    <row r="436" spans="1:10" ht="15.75" x14ac:dyDescent="0.3">
      <c r="A436" s="12" t="str">
        <f>HYPERLINK("https://parts-sales.ru/parts/MAN/06042012414","06.04201-2414")</f>
        <v>06.04201-2414</v>
      </c>
      <c r="B436" s="12" t="str">
        <f>HYPERLINK("https://parts-sales.ru/parts/MAN/06042012414","Винт с плоской головкой M4X35-4.8-H-MAN1")</f>
        <v>Винт с плоской головкой M4X35-4.8-H-MAN1</v>
      </c>
      <c r="C436" s="3" t="s">
        <v>6</v>
      </c>
      <c r="D436" s="4">
        <v>223.2</v>
      </c>
      <c r="E436" s="4">
        <v>54</v>
      </c>
      <c r="F436" s="8">
        <v>0.76</v>
      </c>
      <c r="H436" s="11"/>
      <c r="I436" s="11"/>
      <c r="J436" s="11"/>
    </row>
    <row r="437" spans="1:10" ht="15.75" x14ac:dyDescent="0.3">
      <c r="A437" s="13" t="str">
        <f>HYPERLINK("https://parts-sales.ru/parts/MAN/06042012415","06.04201-2415")</f>
        <v>06.04201-2415</v>
      </c>
      <c r="B437" s="13" t="str">
        <f>HYPERLINK("https://parts-sales.ru/parts/MAN/06042012415","Винт с плоской головкой M4X40-4.8-H-MAN1")</f>
        <v>Винт с плоской головкой M4X40-4.8-H-MAN1</v>
      </c>
      <c r="C437" s="5" t="s">
        <v>6</v>
      </c>
      <c r="D437" s="6">
        <v>320.39999999999998</v>
      </c>
      <c r="E437" s="6">
        <v>67</v>
      </c>
      <c r="F437" s="9">
        <v>0.79</v>
      </c>
      <c r="H437" s="11"/>
      <c r="I437" s="11"/>
      <c r="J437" s="11"/>
    </row>
    <row r="438" spans="1:10" ht="15.75" x14ac:dyDescent="0.3">
      <c r="A438" s="12" t="str">
        <f>HYPERLINK("https://parts-sales.ru/parts/MAN/06042012511","06.04201-2511")</f>
        <v>06.04201-2511</v>
      </c>
      <c r="B438" s="12" t="str">
        <f>HYPERLINK("https://parts-sales.ru/parts/MAN/06042012511","Винт с плоской головкой M5X25-4.8-H-MAN1")</f>
        <v>Винт с плоской головкой M5X25-4.8-H-MAN1</v>
      </c>
      <c r="C438" s="3" t="s">
        <v>6</v>
      </c>
      <c r="D438" s="4">
        <v>326.39999999999998</v>
      </c>
      <c r="E438" s="4">
        <v>121</v>
      </c>
      <c r="F438" s="8">
        <v>0.63</v>
      </c>
      <c r="H438" s="11"/>
      <c r="I438" s="11"/>
      <c r="J438" s="11"/>
    </row>
    <row r="439" spans="1:10" ht="15.75" x14ac:dyDescent="0.3">
      <c r="A439" s="13" t="str">
        <f>HYPERLINK("https://parts-sales.ru/parts/MAN/06042012606","06.04201-2606")</f>
        <v>06.04201-2606</v>
      </c>
      <c r="B439" s="13" t="str">
        <f>HYPERLINK("https://parts-sales.ru/parts/MAN/06042012606","Винт с плоской головкой M6X12-4.8-H-MAN1")</f>
        <v>Винт с плоской головкой M6X12-4.8-H-MAN1</v>
      </c>
      <c r="C439" s="5" t="s">
        <v>6</v>
      </c>
      <c r="D439" s="6">
        <v>433.2</v>
      </c>
      <c r="E439" s="6">
        <v>58</v>
      </c>
      <c r="F439" s="9">
        <v>0.87</v>
      </c>
      <c r="H439" s="11"/>
      <c r="I439" s="11"/>
      <c r="J439" s="11"/>
    </row>
    <row r="440" spans="1:10" ht="15.75" x14ac:dyDescent="0.3">
      <c r="A440" s="12" t="str">
        <f>HYPERLINK("https://parts-sales.ru/parts/MAN/06042012607","06.04201-2607")</f>
        <v>06.04201-2607</v>
      </c>
      <c r="B440" s="12" t="str">
        <f>HYPERLINK("https://parts-sales.ru/parts/MAN/06042012607","Винт с плоской головкой M6X16-4.8-H-MAN1")</f>
        <v>Винт с плоской головкой M6X16-4.8-H-MAN1</v>
      </c>
      <c r="C440" s="3" t="s">
        <v>6</v>
      </c>
      <c r="D440" s="4">
        <v>176.4</v>
      </c>
      <c r="E440" s="4">
        <v>4</v>
      </c>
      <c r="F440" s="8">
        <v>0.98</v>
      </c>
      <c r="H440" s="11"/>
      <c r="I440" s="11"/>
      <c r="J440" s="11"/>
    </row>
    <row r="441" spans="1:10" ht="15.75" x14ac:dyDescent="0.3">
      <c r="A441" s="13" t="str">
        <f>HYPERLINK("https://parts-sales.ru/parts/MAN/06042012611","06.04201-2611")</f>
        <v>06.04201-2611</v>
      </c>
      <c r="B441" s="13" t="str">
        <f>HYPERLINK("https://parts-sales.ru/parts/MAN/06042012611","Винт с плоской головкой M6X25-4.8-H-MAN1")</f>
        <v>Винт с плоской головкой M6X25-4.8-H-MAN1</v>
      </c>
      <c r="C441" s="5" t="s">
        <v>6</v>
      </c>
      <c r="D441" s="6">
        <v>62.4</v>
      </c>
      <c r="E441" s="6">
        <v>2</v>
      </c>
      <c r="F441" s="9">
        <v>0.97</v>
      </c>
      <c r="H441" s="11"/>
      <c r="I441" s="11"/>
      <c r="J441" s="11"/>
    </row>
    <row r="442" spans="1:10" ht="15.75" x14ac:dyDescent="0.3">
      <c r="A442" s="12" t="str">
        <f>HYPERLINK("https://parts-sales.ru/parts/MAN/06042013605","06.04201-3605")</f>
        <v>06.04201-3605</v>
      </c>
      <c r="B442" s="12" t="str">
        <f>HYPERLINK("https://parts-sales.ru/parts/MAN/06042013605","Винт с плоской головкой M4X10-4.8-H-MAN1")</f>
        <v>Винт с плоской головкой M4X10-4.8-H-MAN1</v>
      </c>
      <c r="C442" s="3" t="s">
        <v>6</v>
      </c>
      <c r="D442" s="4">
        <v>216</v>
      </c>
      <c r="E442" s="4">
        <v>58</v>
      </c>
      <c r="F442" s="8">
        <v>0.73</v>
      </c>
      <c r="H442" s="11"/>
      <c r="I442" s="11"/>
      <c r="J442" s="11"/>
    </row>
    <row r="443" spans="1:10" ht="15.75" x14ac:dyDescent="0.3">
      <c r="A443" s="13" t="str">
        <f>HYPERLINK("https://parts-sales.ru/parts/MAN/06042016406","06.04201-6406")</f>
        <v>06.04201-6406</v>
      </c>
      <c r="B443" s="13" t="str">
        <f>HYPERLINK("https://parts-sales.ru/parts/MAN/06042016406","Винт с плоской головкой M4X12-4.8-H-H2I")</f>
        <v>Винт с плоской головкой M4X12-4.8-H-H2I</v>
      </c>
      <c r="C443" s="5" t="s">
        <v>6</v>
      </c>
      <c r="D443" s="6">
        <v>285.60000000000002</v>
      </c>
      <c r="E443" s="6">
        <v>55</v>
      </c>
      <c r="F443" s="9">
        <v>0.81</v>
      </c>
      <c r="H443" s="11"/>
      <c r="I443" s="11"/>
      <c r="J443" s="11"/>
    </row>
    <row r="444" spans="1:10" ht="15.75" x14ac:dyDescent="0.3">
      <c r="A444" s="12" t="str">
        <f>HYPERLINK("https://parts-sales.ru/parts/MAN/06042016607","06.04201-6607")</f>
        <v>06.04201-6607</v>
      </c>
      <c r="B444" s="12" t="str">
        <f>HYPERLINK("https://parts-sales.ru/parts/MAN/06042016607","Винт с плоской головкой M6X16-4.8-H-H2I")</f>
        <v>Винт с плоской головкой M6X16-4.8-H-H2I</v>
      </c>
      <c r="C444" s="3" t="s">
        <v>6</v>
      </c>
      <c r="D444" s="4">
        <v>433.2</v>
      </c>
      <c r="E444" s="4">
        <v>73</v>
      </c>
      <c r="F444" s="8">
        <v>0.83</v>
      </c>
      <c r="H444" s="11"/>
      <c r="I444" s="11"/>
      <c r="J444" s="11"/>
    </row>
    <row r="445" spans="1:10" ht="15.75" x14ac:dyDescent="0.3">
      <c r="A445" s="13" t="str">
        <f>HYPERLINK("https://parts-sales.ru/parts/MAN/06042090049","06.04209-0049")</f>
        <v>06.04209-0049</v>
      </c>
      <c r="B445" s="13" t="str">
        <f>HYPERLINK("https://parts-sales.ru/parts/MAN/06042090049","Винт с плоской головкой M6X20-4.8-H-MAN1")</f>
        <v>Винт с плоской головкой M6X20-4.8-H-MAN1</v>
      </c>
      <c r="C445" s="5" t="s">
        <v>6</v>
      </c>
      <c r="D445" s="6">
        <v>158.4</v>
      </c>
      <c r="E445" s="6">
        <v>5</v>
      </c>
      <c r="F445" s="9">
        <v>0.97</v>
      </c>
      <c r="H445" s="11"/>
      <c r="I445" s="11"/>
      <c r="J445" s="11"/>
    </row>
    <row r="446" spans="1:10" ht="15.75" x14ac:dyDescent="0.3">
      <c r="A446" s="12" t="str">
        <f>HYPERLINK("https://parts-sales.ru/parts/MAN/06042190018","06.04219-0018")</f>
        <v>06.04219-0018</v>
      </c>
      <c r="B446" s="12" t="str">
        <f>HYPERLINK("https://parts-sales.ru/parts/MAN/06042190018","Винт с плоской головкой M8X40-10.9-MAN18")</f>
        <v>Винт с плоской головкой M8X40-10.9-MAN18</v>
      </c>
      <c r="C446" s="3" t="s">
        <v>6</v>
      </c>
      <c r="D446" s="4">
        <v>291.60000000000002</v>
      </c>
      <c r="E446" s="4">
        <v>65</v>
      </c>
      <c r="F446" s="8">
        <v>0.78</v>
      </c>
      <c r="H446" s="11"/>
      <c r="I446" s="11"/>
      <c r="J446" s="11"/>
    </row>
    <row r="447" spans="1:10" ht="15.75" x14ac:dyDescent="0.3">
      <c r="A447" s="13" t="str">
        <f>HYPERLINK("https://parts-sales.ru/parts/MAN/06042190030","06.04219-0030")</f>
        <v>06.04219-0030</v>
      </c>
      <c r="B447" s="13" t="str">
        <f>HYPERLINK("https://parts-sales.ru/parts/MAN/06042190030","Винт с плоской головкой M6X20-10.9-MAN18")</f>
        <v>Винт с плоской головкой M6X20-10.9-MAN18</v>
      </c>
      <c r="C447" s="5" t="s">
        <v>6</v>
      </c>
      <c r="D447" s="6">
        <v>198</v>
      </c>
      <c r="E447" s="6">
        <v>38</v>
      </c>
      <c r="F447" s="9">
        <v>0.81</v>
      </c>
      <c r="H447" s="11"/>
      <c r="I447" s="11"/>
      <c r="J447" s="11"/>
    </row>
    <row r="448" spans="1:10" ht="15.75" x14ac:dyDescent="0.3">
      <c r="A448" s="12" t="str">
        <f>HYPERLINK("https://parts-sales.ru/parts/MAN/06042591015","06.04259-1015")</f>
        <v>06.04259-1015</v>
      </c>
      <c r="B448" s="12" t="str">
        <f>HYPERLINK("https://parts-sales.ru/parts/MAN/06042591015","Винт с цилиндрической головкой M4X30-4.8")</f>
        <v>Винт с цилиндрической головкой M4X30-4.8</v>
      </c>
      <c r="C448" s="3" t="s">
        <v>6</v>
      </c>
      <c r="D448" s="4">
        <v>205.2</v>
      </c>
      <c r="E448" s="4">
        <v>26</v>
      </c>
      <c r="F448" s="8">
        <v>0.87</v>
      </c>
      <c r="H448" s="11"/>
      <c r="I448" s="11"/>
      <c r="J448" s="11"/>
    </row>
    <row r="449" spans="1:10" ht="15.75" x14ac:dyDescent="0.3">
      <c r="A449" s="13" t="str">
        <f>HYPERLINK("https://parts-sales.ru/parts/MAN/06043022809","06.04302-2809")</f>
        <v>06.04302-2809</v>
      </c>
      <c r="B449" s="13" t="str">
        <f>HYPERLINK("https://parts-sales.ru/parts/MAN/06043022809","Винт с полупотайной головкой M6X16-8.8-H")</f>
        <v>Винт с полупотайной головкой M6X16-8.8-H</v>
      </c>
      <c r="C449" s="5" t="s">
        <v>6</v>
      </c>
      <c r="D449" s="6">
        <v>312</v>
      </c>
      <c r="E449" s="6">
        <v>81</v>
      </c>
      <c r="F449" s="9">
        <v>0.74</v>
      </c>
      <c r="H449" s="11"/>
      <c r="I449" s="11"/>
      <c r="J449" s="11"/>
    </row>
    <row r="450" spans="1:10" ht="15.75" x14ac:dyDescent="0.3">
      <c r="A450" s="12" t="str">
        <f>HYPERLINK("https://parts-sales.ru/parts/MAN/06043026915","06.04302-6915")</f>
        <v>06.04302-6915</v>
      </c>
      <c r="B450" s="12" t="str">
        <f>HYPERLINK("https://parts-sales.ru/parts/MAN/06043026915","Винт с полупотайной головкой M8X30-8.8-H")</f>
        <v>Винт с полупотайной головкой M8X30-8.8-H</v>
      </c>
      <c r="C450" s="3" t="s">
        <v>6</v>
      </c>
      <c r="D450" s="4">
        <v>420</v>
      </c>
      <c r="E450" s="4">
        <v>93</v>
      </c>
      <c r="F450" s="8">
        <v>0.78</v>
      </c>
      <c r="H450" s="11"/>
      <c r="I450" s="11"/>
      <c r="J450" s="11"/>
    </row>
    <row r="451" spans="1:10" ht="15.75" x14ac:dyDescent="0.3">
      <c r="A451" s="13" t="str">
        <f>HYPERLINK("https://parts-sales.ru/parts/MAN/06043032611","06.04303-2611")</f>
        <v>06.04303-2611</v>
      </c>
      <c r="B451" s="13" t="str">
        <f>HYPERLINK("https://parts-sales.ru/parts/MAN/06043032611","Винт с полупотайной головкой M4X20-8.8-T")</f>
        <v>Винт с полупотайной головкой M4X20-8.8-T</v>
      </c>
      <c r="C451" s="5" t="s">
        <v>6</v>
      </c>
      <c r="D451" s="6">
        <v>298.8</v>
      </c>
      <c r="E451" s="6">
        <v>41</v>
      </c>
      <c r="F451" s="9">
        <v>0.86</v>
      </c>
      <c r="H451" s="11"/>
      <c r="I451" s="11"/>
      <c r="J451" s="11"/>
    </row>
    <row r="452" spans="1:10" ht="15.75" x14ac:dyDescent="0.3">
      <c r="A452" s="12" t="str">
        <f>HYPERLINK("https://parts-sales.ru/parts/MAN/06043032909","06.04303-2909")</f>
        <v>06.04303-2909</v>
      </c>
      <c r="B452" s="12" t="str">
        <f>HYPERLINK("https://parts-sales.ru/parts/MAN/06043032909","Винт с полупотайной головкой M8X16-8.8-M")</f>
        <v>Винт с полупотайной головкой M8X16-8.8-M</v>
      </c>
      <c r="C452" s="3" t="s">
        <v>6</v>
      </c>
      <c r="D452" s="4">
        <v>235.2</v>
      </c>
      <c r="E452" s="4">
        <v>58</v>
      </c>
      <c r="F452" s="8">
        <v>0.75</v>
      </c>
      <c r="H452" s="11"/>
      <c r="I452" s="11"/>
      <c r="J452" s="11"/>
    </row>
    <row r="453" spans="1:10" ht="15.75" x14ac:dyDescent="0.3">
      <c r="A453" s="13" t="str">
        <f>HYPERLINK("https://parts-sales.ru/parts/MAN/06043032913","06.04303-2913")</f>
        <v>06.04303-2913</v>
      </c>
      <c r="B453" s="13" t="str">
        <f>HYPERLINK("https://parts-sales.ru/parts/MAN/06043032913","Винт с полупотайной головкой M8X25-8.8-M")</f>
        <v>Винт с полупотайной головкой M8X25-8.8-M</v>
      </c>
      <c r="C453" s="5" t="s">
        <v>6</v>
      </c>
      <c r="D453" s="6">
        <v>231.6</v>
      </c>
      <c r="E453" s="6">
        <v>47</v>
      </c>
      <c r="F453" s="9">
        <v>0.8</v>
      </c>
      <c r="H453" s="11"/>
      <c r="I453" s="11"/>
      <c r="J453" s="11"/>
    </row>
    <row r="454" spans="1:10" ht="15.75" x14ac:dyDescent="0.3">
      <c r="A454" s="12" t="str">
        <f>HYPERLINK("https://parts-sales.ru/parts/MAN/06043090038","06.04309-0038")</f>
        <v>06.04309-0038</v>
      </c>
      <c r="B454" s="12" t="str">
        <f>HYPERLINK("https://parts-sales.ru/parts/MAN/06043090038","Винт с полупотайной головкой M8X30-8.8-F")</f>
        <v>Винт с полупотайной головкой M8X30-8.8-F</v>
      </c>
      <c r="C454" s="3" t="s">
        <v>6</v>
      </c>
      <c r="D454" s="4">
        <v>850.8</v>
      </c>
      <c r="E454" s="4">
        <v>4</v>
      </c>
      <c r="F454" s="8">
        <v>1</v>
      </c>
      <c r="H454" s="11"/>
      <c r="I454" s="11"/>
      <c r="J454" s="11"/>
    </row>
    <row r="455" spans="1:10" ht="15.75" x14ac:dyDescent="0.3">
      <c r="A455" s="13" t="str">
        <f>HYPERLINK("https://parts-sales.ru/parts/MAN/06050250917","06.05025-0917")</f>
        <v>06.05025-0917</v>
      </c>
      <c r="B455" s="13" t="str">
        <f>HYPERLINK("https://parts-sales.ru/parts/MAN/06050250917","Барашковый винт M8X80-GT-MAN183-B1")</f>
        <v>Барашковый винт M8X80-GT-MAN183-B1</v>
      </c>
      <c r="C455" s="5" t="s">
        <v>6</v>
      </c>
      <c r="D455" s="6">
        <v>645.6</v>
      </c>
      <c r="E455" s="6">
        <v>87</v>
      </c>
      <c r="F455" s="9">
        <v>0.87</v>
      </c>
      <c r="H455" s="11"/>
      <c r="I455" s="11"/>
      <c r="J455" s="11"/>
    </row>
    <row r="456" spans="1:10" ht="15.75" x14ac:dyDescent="0.3">
      <c r="A456" s="12" t="str">
        <f>HYPERLINK("https://parts-sales.ru/parts/MAN/06050490051","06.05049-0051")</f>
        <v>06.05049-0051</v>
      </c>
      <c r="B456" s="12" t="str">
        <f>HYPERLINK("https://parts-sales.ru/parts/MAN/06050490051","Рым-болт BM10X40-4.6-A3B")</f>
        <v>Рым-болт BM10X40-4.6-A3B</v>
      </c>
      <c r="C456" s="3" t="s">
        <v>6</v>
      </c>
      <c r="D456" s="4">
        <v>2458.8000000000002</v>
      </c>
      <c r="E456" s="4">
        <v>552</v>
      </c>
      <c r="F456" s="8">
        <v>0.78</v>
      </c>
      <c r="H456" s="11"/>
      <c r="I456" s="11"/>
      <c r="J456" s="11"/>
    </row>
    <row r="457" spans="1:10" ht="15.75" x14ac:dyDescent="0.3">
      <c r="A457" s="13" t="str">
        <f>HYPERLINK("https://parts-sales.ru/parts/MAN/06057890004","06.05789-0004")</f>
        <v>06.05789-0004</v>
      </c>
      <c r="B457" s="13" t="str">
        <f>HYPERLINK("https://parts-sales.ru/parts/MAN/06057890004","Потайной расклепываемый винт 9X12,4/M6X2")</f>
        <v>Потайной расклепываемый винт 9X12,4/M6X2</v>
      </c>
      <c r="C457" s="5" t="s">
        <v>6</v>
      </c>
      <c r="D457" s="6">
        <v>990</v>
      </c>
      <c r="E457" s="6">
        <v>214</v>
      </c>
      <c r="F457" s="9">
        <v>0.78</v>
      </c>
      <c r="H457" s="11"/>
      <c r="I457" s="11"/>
      <c r="J457" s="11"/>
    </row>
    <row r="458" spans="1:10" ht="15.75" x14ac:dyDescent="0.3">
      <c r="A458" s="12" t="str">
        <f>HYPERLINK("https://parts-sales.ru/parts/MAN/06061350709","06.06135-0709")</f>
        <v>06.06135-0709</v>
      </c>
      <c r="B458" s="12" t="str">
        <f>HYPERLINK("https://parts-sales.ru/parts/MAN/06061350709","Установочный штифт M8X35-8.8")</f>
        <v>Установочный штифт M8X35-8.8</v>
      </c>
      <c r="C458" s="3" t="s">
        <v>6</v>
      </c>
      <c r="D458" s="4">
        <v>1114.8</v>
      </c>
      <c r="E458" s="4">
        <v>243</v>
      </c>
      <c r="F458" s="8">
        <v>0.78</v>
      </c>
      <c r="H458" s="11"/>
      <c r="I458" s="11"/>
      <c r="J458" s="11"/>
    </row>
    <row r="459" spans="1:10" ht="15.75" x14ac:dyDescent="0.3">
      <c r="A459" s="13" t="str">
        <f>HYPERLINK("https://parts-sales.ru/parts/MAN/06061390084","06.06139-0084")</f>
        <v>06.06139-0084</v>
      </c>
      <c r="B459" s="13" t="str">
        <f>HYPERLINK("https://parts-sales.ru/parts/MAN/06061390084","Установочный штифт M12X128-10.9-ZN8/CN/T")</f>
        <v>Установочный штифт M12X128-10.9-ZN8/CN/T</v>
      </c>
      <c r="C459" s="5" t="s">
        <v>6</v>
      </c>
      <c r="D459" s="6">
        <v>1330.8</v>
      </c>
      <c r="E459" s="6">
        <v>320</v>
      </c>
      <c r="F459" s="9">
        <v>0.76</v>
      </c>
      <c r="H459" s="11"/>
      <c r="I459" s="11"/>
      <c r="J459" s="11"/>
    </row>
    <row r="460" spans="1:10" ht="15.75" x14ac:dyDescent="0.3">
      <c r="A460" s="12" t="str">
        <f>HYPERLINK("https://parts-sales.ru/parts/MAN/06061560515","06.06156-0515")</f>
        <v>06.06156-0515</v>
      </c>
      <c r="B460" s="12" t="str">
        <f>HYPERLINK("https://parts-sales.ru/parts/MAN/06061560515","Установочный винт M8X40-45H")</f>
        <v>Установочный винт M8X40-45H</v>
      </c>
      <c r="C460" s="3" t="s">
        <v>6</v>
      </c>
      <c r="D460" s="4">
        <v>480</v>
      </c>
      <c r="E460" s="4">
        <v>94</v>
      </c>
      <c r="F460" s="8">
        <v>0.8</v>
      </c>
      <c r="H460" s="11"/>
      <c r="I460" s="11"/>
      <c r="J460" s="11"/>
    </row>
    <row r="461" spans="1:10" ht="15.75" x14ac:dyDescent="0.3">
      <c r="A461" s="13" t="str">
        <f>HYPERLINK("https://parts-sales.ru/parts/MAN/06062090052","06.06209-0052")</f>
        <v>06.06209-0052</v>
      </c>
      <c r="B461" s="13" t="str">
        <f>HYPERLINK("https://parts-sales.ru/parts/MAN/06062090052","Установочный штифт M14X1,5X30-10.9-MAN18")</f>
        <v>Установочный штифт M14X1,5X30-10.9-MAN18</v>
      </c>
      <c r="C461" s="5" t="s">
        <v>6</v>
      </c>
      <c r="D461" s="6">
        <v>909.6</v>
      </c>
      <c r="E461" s="6">
        <v>28</v>
      </c>
      <c r="F461" s="9">
        <v>0.97</v>
      </c>
      <c r="H461" s="11"/>
      <c r="I461" s="11"/>
      <c r="J461" s="11"/>
    </row>
    <row r="462" spans="1:10" ht="15.75" x14ac:dyDescent="0.3">
      <c r="A462" s="12" t="str">
        <f>HYPERLINK("https://parts-sales.ru/parts/MAN/06062260814","06.06226-0814")</f>
        <v>06.06226-0814</v>
      </c>
      <c r="B462" s="12" t="str">
        <f>HYPERLINK("https://parts-sales.ru/parts/MAN/06062260814","Установочный штифт M10X60-10.9")</f>
        <v>Установочный штифт M10X60-10.9</v>
      </c>
      <c r="C462" s="3" t="s">
        <v>6</v>
      </c>
      <c r="D462" s="4">
        <v>889.2</v>
      </c>
      <c r="E462" s="4">
        <v>203</v>
      </c>
      <c r="F462" s="8">
        <v>0.77</v>
      </c>
      <c r="H462" s="11"/>
      <c r="I462" s="11"/>
      <c r="J462" s="11"/>
    </row>
    <row r="463" spans="1:10" ht="15.75" x14ac:dyDescent="0.3">
      <c r="A463" s="13" t="str">
        <f>HYPERLINK("https://parts-sales.ru/parts/MAN/06062290110","06.06229-0110")</f>
        <v>06.06229-0110</v>
      </c>
      <c r="B463" s="13" t="str">
        <f>HYPERLINK("https://parts-sales.ru/parts/MAN/06062290110","Установочный штифт M12X105-10.9-MAN183-A")</f>
        <v>Установочный штифт M12X105-10.9-MAN183-A</v>
      </c>
      <c r="C463" s="5" t="s">
        <v>6</v>
      </c>
      <c r="D463" s="6">
        <v>1382.4</v>
      </c>
      <c r="E463" s="6">
        <v>334</v>
      </c>
      <c r="F463" s="9">
        <v>0.76</v>
      </c>
      <c r="H463" s="11"/>
      <c r="I463" s="11"/>
      <c r="J463" s="11"/>
    </row>
    <row r="464" spans="1:10" ht="15.75" x14ac:dyDescent="0.3">
      <c r="A464" s="12" t="str">
        <f>HYPERLINK("https://parts-sales.ru/parts/MAN/06070940203","06.07094-0203")</f>
        <v>06.07094-0203</v>
      </c>
      <c r="B464" s="12" t="str">
        <f>HYPERLINK("https://parts-sales.ru/parts/MAN/06070940203","Самон. винт со сфероцил. гол. AEM4X10-ST")</f>
        <v>Самон. винт со сфероцил. гол. AEM4X10-ST</v>
      </c>
      <c r="C464" s="3" t="s">
        <v>6</v>
      </c>
      <c r="D464" s="4">
        <v>109.2</v>
      </c>
      <c r="E464" s="4">
        <v>21</v>
      </c>
      <c r="F464" s="8">
        <v>0.81</v>
      </c>
      <c r="H464" s="11"/>
      <c r="I464" s="11"/>
      <c r="J464" s="11"/>
    </row>
    <row r="465" spans="1:10" ht="15.75" x14ac:dyDescent="0.3">
      <c r="A465" s="13" t="str">
        <f>HYPERLINK("https://parts-sales.ru/parts/MAN/06071511403","06.07151-1403")</f>
        <v>06.07151-1403</v>
      </c>
      <c r="B465" s="13" t="str">
        <f>HYPERLINK("https://parts-sales.ru/parts/MAN/06071511403","Винт со сфероцил. гол. по мет. ST3,9X13C")</f>
        <v>Винт со сфероцил. гол. по мет. ST3,9X13C</v>
      </c>
      <c r="C465" s="5" t="s">
        <v>6</v>
      </c>
      <c r="D465" s="6">
        <v>129.6</v>
      </c>
      <c r="E465" s="6">
        <v>31</v>
      </c>
      <c r="F465" s="9">
        <v>0.76</v>
      </c>
      <c r="H465" s="11"/>
      <c r="I465" s="11"/>
      <c r="J465" s="11"/>
    </row>
    <row r="466" spans="1:10" ht="15.75" x14ac:dyDescent="0.3">
      <c r="A466" s="12" t="str">
        <f>HYPERLINK("https://parts-sales.ru/parts/MAN/06071511405","06.07151-1405")</f>
        <v>06.07151-1405</v>
      </c>
      <c r="B466" s="12" t="str">
        <f>HYPERLINK("https://parts-sales.ru/parts/MAN/06071511405","Винт со сфероцил. гол. по мет. ST3,9X19C")</f>
        <v>Винт со сфероцил. гол. по мет. ST3,9X19C</v>
      </c>
      <c r="C466" s="3" t="s">
        <v>6</v>
      </c>
      <c r="D466" s="4">
        <v>290.39999999999998</v>
      </c>
      <c r="E466" s="4">
        <v>34</v>
      </c>
      <c r="F466" s="8">
        <v>0.88</v>
      </c>
      <c r="H466" s="11"/>
      <c r="I466" s="11"/>
      <c r="J466" s="11"/>
    </row>
    <row r="467" spans="1:10" ht="15.75" x14ac:dyDescent="0.3">
      <c r="A467" s="13" t="str">
        <f>HYPERLINK("https://parts-sales.ru/parts/MAN/06071563504","06.07156-3504")</f>
        <v>06.07156-3504</v>
      </c>
      <c r="B467" s="13" t="str">
        <f>HYPERLINK("https://parts-sales.ru/parts/MAN/06071563504","Винт со сфероцил. гол. по мет. ST4,2X16F")</f>
        <v>Винт со сфероцил. гол. по мет. ST4,2X16F</v>
      </c>
      <c r="C467" s="5" t="s">
        <v>6</v>
      </c>
      <c r="D467" s="6">
        <v>52.8</v>
      </c>
      <c r="E467" s="6">
        <v>11</v>
      </c>
      <c r="F467" s="9">
        <v>0.79</v>
      </c>
      <c r="H467" s="11"/>
      <c r="I467" s="11"/>
      <c r="J467" s="11"/>
    </row>
    <row r="468" spans="1:10" ht="15.75" x14ac:dyDescent="0.3">
      <c r="A468" s="12" t="str">
        <f>HYPERLINK("https://parts-sales.ru/parts/MAN/06071671507","06.07167-1507")</f>
        <v>06.07167-1507</v>
      </c>
      <c r="B468" s="12" t="str">
        <f>HYPERLINK("https://parts-sales.ru/parts/MAN/06071671507","Винт с пот. гол. по металлу ST4,2X25C-H-")</f>
        <v>Винт с пот. гол. по металлу ST4,2X25C-H-</v>
      </c>
      <c r="C468" s="3" t="s">
        <v>6</v>
      </c>
      <c r="D468" s="4">
        <v>60</v>
      </c>
      <c r="E468" s="4">
        <v>12</v>
      </c>
      <c r="F468" s="8">
        <v>0.8</v>
      </c>
      <c r="H468" s="11"/>
      <c r="I468" s="11"/>
      <c r="J468" s="11"/>
    </row>
    <row r="469" spans="1:10" ht="15.75" x14ac:dyDescent="0.3">
      <c r="A469" s="13" t="str">
        <f>HYPERLINK("https://parts-sales.ru/parts/MAN/06071790005","06.07179-0005")</f>
        <v>06.07179-0005</v>
      </c>
      <c r="B469" s="13" t="str">
        <f>HYPERLINK("https://parts-sales.ru/parts/MAN/06071790005","Винт с полупот. гол. по мет. ST4,2X22C-H")</f>
        <v>Винт с полупот. гол. по мет. ST4,2X22C-H</v>
      </c>
      <c r="C469" s="5" t="s">
        <v>6</v>
      </c>
      <c r="D469" s="6">
        <v>52.8</v>
      </c>
      <c r="E469" s="6">
        <v>10</v>
      </c>
      <c r="F469" s="9">
        <v>0.81</v>
      </c>
      <c r="H469" s="11"/>
      <c r="I469" s="11"/>
      <c r="J469" s="11"/>
    </row>
    <row r="470" spans="1:10" ht="15.75" x14ac:dyDescent="0.3">
      <c r="A470" s="12" t="str">
        <f>HYPERLINK("https://parts-sales.ru/parts/MAN/06071790006","06.07179-0006")</f>
        <v>06.07179-0006</v>
      </c>
      <c r="B470" s="12" t="str">
        <f>HYPERLINK("https://parts-sales.ru/parts/MAN/06071790006","Винт с полупот. гол. по мет. ST4,2X16C-H")</f>
        <v>Винт с полупот. гол. по мет. ST4,2X16C-H</v>
      </c>
      <c r="C470" s="3" t="s">
        <v>6</v>
      </c>
      <c r="D470" s="4">
        <v>39.6</v>
      </c>
      <c r="E470" s="4">
        <v>9</v>
      </c>
      <c r="F470" s="8">
        <v>0.77</v>
      </c>
      <c r="H470" s="11"/>
      <c r="I470" s="11"/>
      <c r="J470" s="11"/>
    </row>
    <row r="471" spans="1:10" ht="15.75" x14ac:dyDescent="0.3">
      <c r="A471" s="13" t="str">
        <f>HYPERLINK("https://parts-sales.ru/parts/MAN/06072123310","06.07212-3310")</f>
        <v>06.07212-3310</v>
      </c>
      <c r="B471" s="13" t="str">
        <f>HYPERLINK("https://parts-sales.ru/parts/MAN/06072123310","Лист. борозд. винт с цил. гол. D5X16-ST-")</f>
        <v>Лист. борозд. винт с цил. гол. D5X16-ST-</v>
      </c>
      <c r="C471" s="5" t="s">
        <v>6</v>
      </c>
      <c r="D471" s="6">
        <v>42.64</v>
      </c>
      <c r="E471" s="6">
        <v>18</v>
      </c>
      <c r="F471" s="9">
        <v>0.57999999999999996</v>
      </c>
      <c r="H471" s="11"/>
      <c r="I471" s="11"/>
      <c r="J471" s="11"/>
    </row>
    <row r="472" spans="1:10" ht="15.75" x14ac:dyDescent="0.3">
      <c r="A472" s="12" t="str">
        <f>HYPERLINK("https://parts-sales.ru/parts/MAN/06072124309","06.07212-4309")</f>
        <v>06.07212-4309</v>
      </c>
      <c r="B472" s="12" t="str">
        <f>HYPERLINK("https://parts-sales.ru/parts/MAN/06072124309","Лист. борозд. винт с цил. гол. D6X14-ST-")</f>
        <v>Лист. борозд. винт с цил. гол. D6X14-ST-</v>
      </c>
      <c r="C472" s="3" t="s">
        <v>6</v>
      </c>
      <c r="D472" s="4">
        <v>126</v>
      </c>
      <c r="E472" s="4">
        <v>25</v>
      </c>
      <c r="F472" s="8">
        <v>0.8</v>
      </c>
      <c r="H472" s="11"/>
      <c r="I472" s="11"/>
      <c r="J472" s="11"/>
    </row>
    <row r="473" spans="1:10" ht="15.75" x14ac:dyDescent="0.3">
      <c r="A473" s="13" t="str">
        <f>HYPERLINK("https://parts-sales.ru/parts/MAN/06072124312","06.07212-4312")</f>
        <v>06.07212-4312</v>
      </c>
      <c r="B473" s="13" t="str">
        <f>HYPERLINK("https://parts-sales.ru/parts/MAN/06072124312","Лист. борозд. винт с цил. гол. D6X20-ST-")</f>
        <v>Лист. борозд. винт с цил. гол. D6X20-ST-</v>
      </c>
      <c r="C473" s="5" t="s">
        <v>6</v>
      </c>
      <c r="D473" s="6">
        <v>123.6</v>
      </c>
      <c r="E473" s="6">
        <v>56</v>
      </c>
      <c r="F473" s="9">
        <v>0.55000000000000004</v>
      </c>
      <c r="H473" s="11"/>
      <c r="I473" s="11"/>
      <c r="J473" s="11"/>
    </row>
    <row r="474" spans="1:10" ht="15.75" x14ac:dyDescent="0.3">
      <c r="A474" s="12" t="str">
        <f>HYPERLINK("https://parts-sales.ru/parts/MAN/06072124314","06.07212-4314")</f>
        <v>06.07212-4314</v>
      </c>
      <c r="B474" s="12" t="str">
        <f>HYPERLINK("https://parts-sales.ru/parts/MAN/06072124314","Лист. борозд. винт с цил. гол. D6X25-ST-")</f>
        <v>Лист. борозд. винт с цил. гол. D6X25-ST-</v>
      </c>
      <c r="C474" s="3" t="s">
        <v>6</v>
      </c>
      <c r="D474" s="4">
        <v>124.74</v>
      </c>
      <c r="E474" s="4">
        <v>55</v>
      </c>
      <c r="F474" s="8">
        <v>0.56000000000000005</v>
      </c>
      <c r="H474" s="11"/>
      <c r="I474" s="11"/>
      <c r="J474" s="11"/>
    </row>
    <row r="475" spans="1:10" ht="15.75" x14ac:dyDescent="0.3">
      <c r="A475" s="13" t="str">
        <f>HYPERLINK("https://parts-sales.ru/parts/MAN/06072132214","06.07213-2214")</f>
        <v>06.07213-2214</v>
      </c>
      <c r="B475" s="13" t="str">
        <f>HYPERLINK("https://parts-sales.ru/parts/MAN/06072132214","Сферич. бороздк. винт C4X25-ST-MAN183-B4")</f>
        <v>Сферич. бороздк. винт C4X25-ST-MAN183-B4</v>
      </c>
      <c r="C475" s="5" t="s">
        <v>6</v>
      </c>
      <c r="D475" s="6">
        <v>52.8</v>
      </c>
      <c r="E475" s="6">
        <v>11</v>
      </c>
      <c r="F475" s="9">
        <v>0.79</v>
      </c>
      <c r="H475" s="11"/>
      <c r="I475" s="11"/>
      <c r="J475" s="11"/>
    </row>
    <row r="476" spans="1:10" ht="15.75" x14ac:dyDescent="0.3">
      <c r="A476" s="12" t="str">
        <f>HYPERLINK("https://parts-sales.ru/parts/MAN/06072132307","06.07213-2307")</f>
        <v>06.07213-2307</v>
      </c>
      <c r="B476" s="12" t="str">
        <f>HYPERLINK("https://parts-sales.ru/parts/MAN/06072132307","Лист. борозд. винт с цил. гол. D4X10-ST-")</f>
        <v>Лист. борозд. винт с цил. гол. D4X10-ST-</v>
      </c>
      <c r="C476" s="3" t="s">
        <v>6</v>
      </c>
      <c r="D476" s="4">
        <v>50.4</v>
      </c>
      <c r="E476" s="4">
        <v>11</v>
      </c>
      <c r="F476" s="8">
        <v>0.78</v>
      </c>
      <c r="H476" s="11"/>
      <c r="I476" s="11"/>
      <c r="J476" s="11"/>
    </row>
    <row r="477" spans="1:10" ht="15.75" x14ac:dyDescent="0.3">
      <c r="A477" s="13" t="str">
        <f>HYPERLINK("https://parts-sales.ru/parts/MAN/06072133313","06.07213-3313")</f>
        <v>06.07213-3313</v>
      </c>
      <c r="B477" s="13" t="str">
        <f>HYPERLINK("https://parts-sales.ru/parts/MAN/06072133313","Лист. борозд. винт с цил. гол. D5X22-ST-")</f>
        <v>Лист. борозд. винт с цил. гол. D5X22-ST-</v>
      </c>
      <c r="C477" s="5" t="s">
        <v>6</v>
      </c>
      <c r="D477" s="6">
        <v>129.6</v>
      </c>
      <c r="E477" s="6">
        <v>8</v>
      </c>
      <c r="F477" s="9">
        <v>0.94</v>
      </c>
      <c r="H477" s="11"/>
      <c r="I477" s="11"/>
      <c r="J477" s="11"/>
    </row>
    <row r="478" spans="1:10" ht="15.75" x14ac:dyDescent="0.3">
      <c r="A478" s="12" t="str">
        <f>HYPERLINK("https://parts-sales.ru/parts/MAN/06072134309","06.07213-4309")</f>
        <v>06.07213-4309</v>
      </c>
      <c r="B478" s="12" t="str">
        <f>HYPERLINK("https://parts-sales.ru/parts/MAN/06072134309","Лист. борозд. винт с цил. гол. D6X14-ST-")</f>
        <v>Лист. борозд. винт с цил. гол. D6X14-ST-</v>
      </c>
      <c r="C478" s="3" t="s">
        <v>6</v>
      </c>
      <c r="D478" s="4">
        <v>109.2</v>
      </c>
      <c r="E478" s="4">
        <v>21</v>
      </c>
      <c r="F478" s="8">
        <v>0.81</v>
      </c>
      <c r="H478" s="11"/>
      <c r="I478" s="11"/>
      <c r="J478" s="11"/>
    </row>
    <row r="479" spans="1:10" ht="15.75" x14ac:dyDescent="0.3">
      <c r="A479" s="13" t="str">
        <f>HYPERLINK("https://parts-sales.ru/parts/MAN/06072134311","06.07213-4311")</f>
        <v>06.07213-4311</v>
      </c>
      <c r="B479" s="13" t="str">
        <f>HYPERLINK("https://parts-sales.ru/parts/MAN/06072134311","Лист. борозд. винт с цил. гол. D6X18-ST-")</f>
        <v>Лист. борозд. винт с цил. гол. D6X18-ST-</v>
      </c>
      <c r="C479" s="5" t="s">
        <v>6</v>
      </c>
      <c r="D479" s="6">
        <v>102</v>
      </c>
      <c r="E479" s="6">
        <v>3</v>
      </c>
      <c r="F479" s="9">
        <v>0.97</v>
      </c>
      <c r="H479" s="11"/>
      <c r="I479" s="11"/>
      <c r="J479" s="11"/>
    </row>
    <row r="480" spans="1:10" ht="15.75" x14ac:dyDescent="0.3">
      <c r="A480" s="12" t="str">
        <f>HYPERLINK("https://parts-sales.ru/parts/MAN/06072190010","06.07219-0010")</f>
        <v>06.07219-0010</v>
      </c>
      <c r="B480" s="12" t="str">
        <f>HYPERLINK("https://parts-sales.ru/parts/MAN/06072190010","Сферич. бороздк. винт C5X18-Z15X1,6-ST-M")</f>
        <v>Сферич. бороздк. винт C5X18-Z15X1,6-ST-M</v>
      </c>
      <c r="C480" s="3" t="s">
        <v>6</v>
      </c>
      <c r="D480" s="4">
        <v>240</v>
      </c>
      <c r="E480" s="4">
        <v>32</v>
      </c>
      <c r="F480" s="8">
        <v>0.87</v>
      </c>
      <c r="H480" s="11"/>
      <c r="I480" s="11"/>
      <c r="J480" s="11"/>
    </row>
    <row r="481" spans="1:10" ht="15.75" x14ac:dyDescent="0.3">
      <c r="A481" s="13" t="str">
        <f>HYPERLINK("https://parts-sales.ru/parts/MAN/06072190011","06.07219-0011")</f>
        <v>06.07219-0011</v>
      </c>
      <c r="B481" s="13" t="str">
        <f>HYPERLINK("https://parts-sales.ru/parts/MAN/06072190011","Сферич. бороздк. винт C6X25-Z24X2-ST-MAN")</f>
        <v>Сферич. бороздк. винт C6X25-Z24X2-ST-MAN</v>
      </c>
      <c r="C481" s="5" t="s">
        <v>6</v>
      </c>
      <c r="D481" s="6">
        <v>348</v>
      </c>
      <c r="E481" s="6">
        <v>139</v>
      </c>
      <c r="F481" s="9">
        <v>0.6</v>
      </c>
      <c r="H481" s="11"/>
      <c r="I481" s="11"/>
      <c r="J481" s="11"/>
    </row>
    <row r="482" spans="1:10" ht="15.75" x14ac:dyDescent="0.3">
      <c r="A482" s="12" t="str">
        <f>HYPERLINK("https://parts-sales.ru/parts/MAN/06072190022","06.07219-0022")</f>
        <v>06.07219-0022</v>
      </c>
      <c r="B482" s="12" t="str">
        <f>HYPERLINK("https://parts-sales.ru/parts/MAN/06072190022","Лист. борозд. винт с цил. гол. D6X40TC-S")</f>
        <v>Лист. борозд. винт с цил. гол. D6X40TC-S</v>
      </c>
      <c r="C482" s="3" t="s">
        <v>6</v>
      </c>
      <c r="D482" s="4">
        <v>211.2</v>
      </c>
      <c r="E482" s="4">
        <v>44</v>
      </c>
      <c r="F482" s="8">
        <v>0.79</v>
      </c>
      <c r="H482" s="11"/>
      <c r="I482" s="11"/>
      <c r="J482" s="11"/>
    </row>
    <row r="483" spans="1:10" ht="15.75" x14ac:dyDescent="0.3">
      <c r="A483" s="13" t="str">
        <f>HYPERLINK("https://parts-sales.ru/parts/MAN/06072190023","06.07219-0023")</f>
        <v>06.07219-0023</v>
      </c>
      <c r="B483" s="13" t="str">
        <f>HYPERLINK("https://parts-sales.ru/parts/MAN/06072190023","Лист. борозд. винт с цил. гол. D6X25TC-S")</f>
        <v>Лист. борозд. винт с цил. гол. D6X25TC-S</v>
      </c>
      <c r="C483" s="5" t="s">
        <v>6</v>
      </c>
      <c r="D483" s="6">
        <v>132</v>
      </c>
      <c r="E483" s="6">
        <v>22</v>
      </c>
      <c r="F483" s="9">
        <v>0.83</v>
      </c>
      <c r="H483" s="11"/>
      <c r="I483" s="11"/>
      <c r="J483" s="11"/>
    </row>
    <row r="484" spans="1:10" ht="15.75" x14ac:dyDescent="0.3">
      <c r="A484" s="12" t="str">
        <f>HYPERLINK("https://parts-sales.ru/parts/MAN/06072190024","06.07219-0024")</f>
        <v>06.07219-0024</v>
      </c>
      <c r="B484" s="12" t="str">
        <f>HYPERLINK("https://parts-sales.ru/parts/MAN/06072190024","Лист. борозд. винт с цил. гол. D6X30SD-8")</f>
        <v>Лист. борозд. винт с цил. гол. D6X30SD-8</v>
      </c>
      <c r="C484" s="3" t="s">
        <v>6</v>
      </c>
      <c r="D484" s="4">
        <v>165.6</v>
      </c>
      <c r="E484" s="4">
        <v>32</v>
      </c>
      <c r="F484" s="8">
        <v>0.81</v>
      </c>
      <c r="H484" s="11"/>
      <c r="I484" s="11"/>
      <c r="J484" s="11"/>
    </row>
    <row r="485" spans="1:10" ht="15.75" x14ac:dyDescent="0.3">
      <c r="A485" s="13" t="str">
        <f>HYPERLINK("https://parts-sales.ru/parts/MAN/06072190025","06.07219-0025")</f>
        <v>06.07219-0025</v>
      </c>
      <c r="B485" s="13" t="str">
        <f>HYPERLINK("https://parts-sales.ru/parts/MAN/06072190025","Винт с потайн. насеч. головкой PT-KA4X25")</f>
        <v>Винт с потайн. насеч. головкой PT-KA4X25</v>
      </c>
      <c r="C485" s="5" t="s">
        <v>6</v>
      </c>
      <c r="D485" s="6">
        <v>244.8</v>
      </c>
      <c r="E485" s="6">
        <v>28</v>
      </c>
      <c r="F485" s="9">
        <v>0.89</v>
      </c>
      <c r="H485" s="11"/>
      <c r="I485" s="11"/>
      <c r="J485" s="11"/>
    </row>
    <row r="486" spans="1:10" ht="15.75" x14ac:dyDescent="0.3">
      <c r="A486" s="12" t="str">
        <f>HYPERLINK("https://parts-sales.ru/parts/MAN/06072190030","06.07219-0030")</f>
        <v>06.07219-0030</v>
      </c>
      <c r="B486" s="12" t="str">
        <f>HYPERLINK("https://parts-sales.ru/parts/MAN/06072190030","Сферич. бороздк. винт 6X115X45-Z18X1,6-S")</f>
        <v>Сферич. бороздк. винт 6X115X45-Z18X1,6-S</v>
      </c>
      <c r="C486" s="3" t="s">
        <v>6</v>
      </c>
      <c r="D486" s="4">
        <v>548.4</v>
      </c>
      <c r="E486" s="4">
        <v>124</v>
      </c>
      <c r="F486" s="8">
        <v>0.77</v>
      </c>
      <c r="H486" s="11"/>
      <c r="I486" s="11"/>
      <c r="J486" s="11"/>
    </row>
    <row r="487" spans="1:10" ht="15.75" x14ac:dyDescent="0.3">
      <c r="A487" s="13" t="str">
        <f>HYPERLINK("https://parts-sales.ru/parts/MAN/06072190035","06.07219-0035")</f>
        <v>06.07219-0035</v>
      </c>
      <c r="B487" s="13" t="str">
        <f>HYPERLINK("https://parts-sales.ru/parts/MAN/06072190035","Сферич. бороздк. винт C6X22-Z16X1,6-ST-T")</f>
        <v>Сферич. бороздк. винт C6X22-Z16X1,6-ST-T</v>
      </c>
      <c r="C487" s="5" t="s">
        <v>6</v>
      </c>
      <c r="D487" s="6">
        <v>363.6</v>
      </c>
      <c r="E487" s="6">
        <v>191</v>
      </c>
      <c r="F487" s="9">
        <v>0.47</v>
      </c>
      <c r="H487" s="11"/>
      <c r="I487" s="11"/>
      <c r="J487" s="11"/>
    </row>
    <row r="488" spans="1:10" ht="15.75" x14ac:dyDescent="0.3">
      <c r="A488" s="12" t="str">
        <f>HYPERLINK("https://parts-sales.ru/parts/MAN/06072190043","06.07219-0043")</f>
        <v>06.07219-0043</v>
      </c>
      <c r="B488" s="12" t="str">
        <f>HYPERLINK("https://parts-sales.ru/parts/MAN/06072190043","Лист. борозд. винт с цил. гол. C-6X30-Z2")</f>
        <v>Лист. борозд. винт с цил. гол. C-6X30-Z2</v>
      </c>
      <c r="C488" s="3" t="s">
        <v>6</v>
      </c>
      <c r="D488" s="4">
        <v>216</v>
      </c>
      <c r="E488" s="4">
        <v>38</v>
      </c>
      <c r="F488" s="8">
        <v>0.82</v>
      </c>
      <c r="H488" s="11"/>
      <c r="I488" s="11"/>
      <c r="J488" s="11"/>
    </row>
    <row r="489" spans="1:10" ht="15.75" x14ac:dyDescent="0.3">
      <c r="A489" s="13" t="str">
        <f>HYPERLINK("https://parts-sales.ru/parts/MAN/06072190044","06.07219-0044")</f>
        <v>06.07219-0044</v>
      </c>
      <c r="B489" s="13" t="str">
        <f>HYPERLINK("https://parts-sales.ru/parts/MAN/06072190044","Лист. борозд. винт с цил. гол. D-R4X14-S")</f>
        <v>Лист. борозд. винт с цил. гол. D-R4X14-S</v>
      </c>
      <c r="C489" s="5" t="s">
        <v>6</v>
      </c>
      <c r="D489" s="6">
        <v>223.2</v>
      </c>
      <c r="E489" s="6">
        <v>41</v>
      </c>
      <c r="F489" s="9">
        <v>0.82</v>
      </c>
      <c r="H489" s="11"/>
      <c r="I489" s="11"/>
      <c r="J489" s="11"/>
    </row>
    <row r="490" spans="1:10" ht="15.75" x14ac:dyDescent="0.3">
      <c r="A490" s="12" t="str">
        <f>HYPERLINK("https://parts-sales.ru/parts/MAN/06072190053","06.07219-0053")</f>
        <v>06.07219-0053</v>
      </c>
      <c r="B490" s="12" t="str">
        <f>HYPERLINK("https://parts-sales.ru/parts/MAN/06072190053","Лист. борозд. винт с цил. гол. 6X80-10.9")</f>
        <v>Лист. борозд. винт с цил. гол. 6X80-10.9</v>
      </c>
      <c r="C490" s="3" t="s">
        <v>6</v>
      </c>
      <c r="D490" s="4">
        <v>1268.4000000000001</v>
      </c>
      <c r="E490" s="4">
        <v>282</v>
      </c>
      <c r="F490" s="8">
        <v>0.78</v>
      </c>
      <c r="H490" s="11"/>
      <c r="I490" s="11"/>
      <c r="J490" s="11"/>
    </row>
    <row r="491" spans="1:10" ht="15.75" x14ac:dyDescent="0.3">
      <c r="A491" s="13" t="str">
        <f>HYPERLINK("https://parts-sales.ru/parts/MAN/06072190057","06.07219-0057")</f>
        <v>06.07219-0057</v>
      </c>
      <c r="B491" s="13" t="str">
        <f>HYPERLINK("https://parts-sales.ru/parts/MAN/06072190057","Лист. борозд. винт с цил. гол. D8X28-T40")</f>
        <v>Лист. борозд. винт с цил. гол. D8X28-T40</v>
      </c>
      <c r="C491" s="5" t="s">
        <v>6</v>
      </c>
      <c r="D491" s="6">
        <v>229.2</v>
      </c>
      <c r="E491" s="6">
        <v>39</v>
      </c>
      <c r="F491" s="9">
        <v>0.83</v>
      </c>
      <c r="H491" s="11"/>
      <c r="I491" s="11"/>
      <c r="J491" s="11"/>
    </row>
    <row r="492" spans="1:10" ht="15.75" x14ac:dyDescent="0.3">
      <c r="A492" s="12" t="str">
        <f>HYPERLINK("https://parts-sales.ru/parts/MAN/06072190103","06.07219-0103")</f>
        <v>06.07219-0103</v>
      </c>
      <c r="B492" s="12" t="str">
        <f>HYPERLINK("https://parts-sales.ru/parts/MAN/06072190103","Лист. борозд. винт с цил. гол. 5X18Z1-WN")</f>
        <v>Лист. борозд. винт с цил. гол. 5X18Z1-WN</v>
      </c>
      <c r="C492" s="3" t="s">
        <v>6</v>
      </c>
      <c r="D492" s="4">
        <v>79.2</v>
      </c>
      <c r="E492" s="4">
        <v>16</v>
      </c>
      <c r="F492" s="8">
        <v>0.8</v>
      </c>
      <c r="H492" s="11"/>
      <c r="I492" s="11"/>
      <c r="J492" s="11"/>
    </row>
    <row r="493" spans="1:10" ht="15.75" x14ac:dyDescent="0.3">
      <c r="A493" s="13" t="str">
        <f>HYPERLINK("https://parts-sales.ru/parts/MAN/06072220404","06.07222-0404")</f>
        <v>06.07222-0404</v>
      </c>
      <c r="B493" s="13" t="str">
        <f>HYPERLINK("https://parts-sales.ru/parts/MAN/06072220404","Винт со сфероцил. гол. по мет. ST3,9X13C")</f>
        <v>Винт со сфероцил. гол. по мет. ST3,9X13C</v>
      </c>
      <c r="C493" s="5" t="s">
        <v>6</v>
      </c>
      <c r="D493" s="6">
        <v>565.20000000000005</v>
      </c>
      <c r="E493" s="6">
        <v>295</v>
      </c>
      <c r="F493" s="9">
        <v>0.48</v>
      </c>
      <c r="H493" s="11"/>
      <c r="I493" s="11"/>
      <c r="J493" s="11"/>
    </row>
    <row r="494" spans="1:10" ht="15.75" x14ac:dyDescent="0.3">
      <c r="A494" s="12" t="str">
        <f>HYPERLINK("https://parts-sales.ru/parts/MAN/06072220409","06.07222-0409")</f>
        <v>06.07222-0409</v>
      </c>
      <c r="B494" s="12" t="str">
        <f>HYPERLINK("https://parts-sales.ru/parts/MAN/06072220409","Винт со сфероцил. гол. по мет. ST3,9X32-")</f>
        <v>Винт со сфероцил. гол. по мет. ST3,9X32-</v>
      </c>
      <c r="C494" s="3" t="s">
        <v>6</v>
      </c>
      <c r="D494" s="4">
        <v>976.8</v>
      </c>
      <c r="E494" s="4">
        <v>177</v>
      </c>
      <c r="F494" s="8">
        <v>0.82</v>
      </c>
      <c r="H494" s="11"/>
      <c r="I494" s="11"/>
      <c r="J494" s="11"/>
    </row>
    <row r="495" spans="1:10" ht="15.75" x14ac:dyDescent="0.3">
      <c r="A495" s="13" t="str">
        <f>HYPERLINK("https://parts-sales.ru/parts/MAN/06072220503","06.07222-0503")</f>
        <v>06.07222-0503</v>
      </c>
      <c r="B495" s="13" t="str">
        <f>HYPERLINK("https://parts-sales.ru/parts/MAN/06072220503","Винт со сфероцил. гол. по мет. ST4,2X9,5")</f>
        <v>Винт со сфероцил. гол. по мет. ST4,2X9,5</v>
      </c>
      <c r="C495" s="5" t="s">
        <v>6</v>
      </c>
      <c r="D495" s="6">
        <v>52.8</v>
      </c>
      <c r="E495" s="6">
        <v>3</v>
      </c>
      <c r="F495" s="9">
        <v>0.94</v>
      </c>
      <c r="H495" s="11"/>
      <c r="I495" s="11"/>
      <c r="J495" s="11"/>
    </row>
    <row r="496" spans="1:10" ht="15.75" x14ac:dyDescent="0.3">
      <c r="A496" s="12" t="str">
        <f>HYPERLINK("https://parts-sales.ru/parts/MAN/06072220506","06.07222-0506")</f>
        <v>06.07222-0506</v>
      </c>
      <c r="B496" s="12" t="str">
        <f>HYPERLINK("https://parts-sales.ru/parts/MAN/06072220506","Винт со сфероцил. гол. по мет. ST4,2X19C")</f>
        <v>Винт со сфероцил. гол. по мет. ST4,2X19C</v>
      </c>
      <c r="C496" s="3" t="s">
        <v>6</v>
      </c>
      <c r="D496" s="4">
        <v>94.8</v>
      </c>
      <c r="E496" s="4">
        <v>18</v>
      </c>
      <c r="F496" s="8">
        <v>0.81</v>
      </c>
      <c r="H496" s="11"/>
      <c r="I496" s="11"/>
      <c r="J496" s="11"/>
    </row>
    <row r="497" spans="1:10" ht="15.75" x14ac:dyDescent="0.3">
      <c r="A497" s="13" t="str">
        <f>HYPERLINK("https://parts-sales.ru/parts/MAN/06072220615","06.07222-0615")</f>
        <v>06.07222-0615</v>
      </c>
      <c r="B497" s="13" t="str">
        <f>HYPERLINK("https://parts-sales.ru/parts/MAN/06072220615","Винт со сфероцил. гол. по мет. ST4,8X60C")</f>
        <v>Винт со сфероцил. гол. по мет. ST4,8X60C</v>
      </c>
      <c r="C497" s="5" t="s">
        <v>6</v>
      </c>
      <c r="D497" s="6">
        <v>237.6</v>
      </c>
      <c r="E497" s="6">
        <v>33</v>
      </c>
      <c r="F497" s="9">
        <v>0.86</v>
      </c>
      <c r="H497" s="11"/>
      <c r="I497" s="11"/>
      <c r="J497" s="11"/>
    </row>
    <row r="498" spans="1:10" ht="15.75" x14ac:dyDescent="0.3">
      <c r="A498" s="12" t="str">
        <f>HYPERLINK("https://parts-sales.ru/parts/MAN/06072222607","06.07222-2607")</f>
        <v>06.07222-2607</v>
      </c>
      <c r="B498" s="12" t="str">
        <f>HYPERLINK("https://parts-sales.ru/parts/MAN/06072222607","Винт со сфероцил. гол. по мет. ST4,8X22C")</f>
        <v>Винт со сфероцил. гол. по мет. ST4,8X22C</v>
      </c>
      <c r="C498" s="3" t="s">
        <v>6</v>
      </c>
      <c r="D498" s="4">
        <v>39.47</v>
      </c>
      <c r="E498" s="4">
        <v>14</v>
      </c>
      <c r="F498" s="8">
        <v>0.65</v>
      </c>
      <c r="H498" s="11"/>
      <c r="I498" s="11"/>
      <c r="J498" s="11"/>
    </row>
    <row r="499" spans="1:10" ht="15.75" x14ac:dyDescent="0.3">
      <c r="A499" s="13" t="str">
        <f>HYPERLINK("https://parts-sales.ru/parts/MAN/06072224807","06.07222-4807")</f>
        <v>06.07222-4807</v>
      </c>
      <c r="B499" s="13" t="str">
        <f>HYPERLINK("https://parts-sales.ru/parts/MAN/06072224807","Винт со сфероцил. гол. по мет. ST6,3X22C")</f>
        <v>Винт со сфероцил. гол. по мет. ST6,3X22C</v>
      </c>
      <c r="C499" s="5" t="s">
        <v>6</v>
      </c>
      <c r="D499" s="6">
        <v>250.8</v>
      </c>
      <c r="E499" s="6">
        <v>12</v>
      </c>
      <c r="F499" s="9">
        <v>0.95</v>
      </c>
      <c r="H499" s="11"/>
      <c r="I499" s="11"/>
      <c r="J499" s="11"/>
    </row>
    <row r="500" spans="1:10" ht="15.75" x14ac:dyDescent="0.3">
      <c r="A500" s="12" t="str">
        <f>HYPERLINK("https://parts-sales.ru/parts/MAN/06072230405","06.07223-0405")</f>
        <v>06.07223-0405</v>
      </c>
      <c r="B500" s="12" t="str">
        <f>HYPERLINK("https://parts-sales.ru/parts/MAN/06072230405","Винт со сфероцил. гол. по мет. ST3,9X16C")</f>
        <v>Винт со сфероцил. гол. по мет. ST3,9X16C</v>
      </c>
      <c r="C500" s="3" t="s">
        <v>6</v>
      </c>
      <c r="D500" s="4">
        <v>171.6</v>
      </c>
      <c r="E500" s="4">
        <v>34</v>
      </c>
      <c r="F500" s="8">
        <v>0.8</v>
      </c>
      <c r="H500" s="11"/>
      <c r="I500" s="11"/>
      <c r="J500" s="11"/>
    </row>
    <row r="501" spans="1:10" ht="15.75" x14ac:dyDescent="0.3">
      <c r="A501" s="13" t="str">
        <f>HYPERLINK("https://parts-sales.ru/parts/MAN/06072230505","06.07223-0505")</f>
        <v>06.07223-0505</v>
      </c>
      <c r="B501" s="13" t="str">
        <f>HYPERLINK("https://parts-sales.ru/parts/MAN/06072230505","Винт со сфероцил. гол. по мет. ST4,2X16-")</f>
        <v>Винт со сфероцил. гол. по мет. ST4,2X16-</v>
      </c>
      <c r="C501" s="5" t="s">
        <v>6</v>
      </c>
      <c r="D501" s="6">
        <v>33.6</v>
      </c>
      <c r="E501" s="6">
        <v>8</v>
      </c>
      <c r="F501" s="9">
        <v>0.76</v>
      </c>
      <c r="H501" s="11"/>
      <c r="I501" s="11"/>
      <c r="J501" s="11"/>
    </row>
    <row r="502" spans="1:10" ht="15.75" x14ac:dyDescent="0.3">
      <c r="A502" s="12" t="str">
        <f>HYPERLINK("https://parts-sales.ru/parts/MAN/06072230506","06.07223-0506")</f>
        <v>06.07223-0506</v>
      </c>
      <c r="B502" s="12" t="str">
        <f>HYPERLINK("https://parts-sales.ru/parts/MAN/06072230506","Винт со сфероцил. гол. по мет. ST4,2X19C")</f>
        <v>Винт со сфероцил. гол. по мет. ST4,2X19C</v>
      </c>
      <c r="C502" s="3" t="s">
        <v>6</v>
      </c>
      <c r="D502" s="4">
        <v>52.8</v>
      </c>
      <c r="E502" s="4">
        <v>14</v>
      </c>
      <c r="F502" s="8">
        <v>0.73</v>
      </c>
      <c r="H502" s="11"/>
      <c r="I502" s="11"/>
      <c r="J502" s="11"/>
    </row>
    <row r="503" spans="1:10" ht="15.75" x14ac:dyDescent="0.3">
      <c r="A503" s="13" t="str">
        <f>HYPERLINK("https://parts-sales.ru/parts/MAN/06072232504","06.07223-2504")</f>
        <v>06.07223-2504</v>
      </c>
      <c r="B503" s="13" t="str">
        <f>HYPERLINK("https://parts-sales.ru/parts/MAN/06072232504","Винт со сфероцил. гол. по мет. ST4,2X13-")</f>
        <v>Винт со сфероцил. гол. по мет. ST4,2X13-</v>
      </c>
      <c r="C503" s="5" t="s">
        <v>6</v>
      </c>
      <c r="D503" s="6">
        <v>94.8</v>
      </c>
      <c r="E503" s="6">
        <v>21</v>
      </c>
      <c r="F503" s="9">
        <v>0.78</v>
      </c>
      <c r="H503" s="11"/>
      <c r="I503" s="11"/>
      <c r="J503" s="11"/>
    </row>
    <row r="504" spans="1:10" ht="15.75" x14ac:dyDescent="0.3">
      <c r="A504" s="12" t="str">
        <f>HYPERLINK("https://parts-sales.ru/parts/MAN/06072232605","06.07223-2605")</f>
        <v>06.07223-2605</v>
      </c>
      <c r="B504" s="12" t="str">
        <f>HYPERLINK("https://parts-sales.ru/parts/MAN/06072232605","Винт со сфероцил. гол. по мет. ST4,8X16C")</f>
        <v>Винт со сфероцил. гол. по мет. ST4,8X16C</v>
      </c>
      <c r="C504" s="3" t="s">
        <v>6</v>
      </c>
      <c r="D504" s="4">
        <v>148.80000000000001</v>
      </c>
      <c r="E504" s="4">
        <v>35</v>
      </c>
      <c r="F504" s="8">
        <v>0.76</v>
      </c>
      <c r="H504" s="11"/>
      <c r="I504" s="11"/>
      <c r="J504" s="11"/>
    </row>
    <row r="505" spans="1:10" ht="15.75" x14ac:dyDescent="0.3">
      <c r="A505" s="13" t="str">
        <f>HYPERLINK("https://parts-sales.ru/parts/MAN/06072232710","06.07223-2710")</f>
        <v>06.07223-2710</v>
      </c>
      <c r="B505" s="13" t="str">
        <f>HYPERLINK("https://parts-sales.ru/parts/MAN/06072232710","Винт со сфероцил. гол. по мет. ST6,3X38-")</f>
        <v>Винт со сфероцил. гол. по мет. ST6,3X38-</v>
      </c>
      <c r="C505" s="5" t="s">
        <v>6</v>
      </c>
      <c r="D505" s="6">
        <v>223.2</v>
      </c>
      <c r="E505" s="6">
        <v>33</v>
      </c>
      <c r="F505" s="9">
        <v>0.85</v>
      </c>
      <c r="H505" s="11"/>
      <c r="I505" s="11"/>
      <c r="J505" s="11"/>
    </row>
    <row r="506" spans="1:10" ht="15.75" x14ac:dyDescent="0.3">
      <c r="A506" s="12" t="str">
        <f>HYPERLINK("https://parts-sales.ru/parts/MAN/06072290013","06.07229-0013")</f>
        <v>06.07229-0013</v>
      </c>
      <c r="B506" s="12" t="str">
        <f>HYPERLINK("https://parts-sales.ru/parts/MAN/06072290013","Дистанционный болт ST4,8X55-6X40-ST-T25-")</f>
        <v>Дистанционный болт ST4,8X55-6X40-ST-T25-</v>
      </c>
      <c r="C506" s="3" t="s">
        <v>6</v>
      </c>
      <c r="D506" s="4">
        <v>312</v>
      </c>
      <c r="E506" s="4">
        <v>78</v>
      </c>
      <c r="F506" s="8">
        <v>0.75</v>
      </c>
      <c r="H506" s="11"/>
      <c r="I506" s="11"/>
      <c r="J506" s="11"/>
    </row>
    <row r="507" spans="1:10" ht="15.75" x14ac:dyDescent="0.3">
      <c r="A507" s="13" t="str">
        <f>HYPERLINK("https://parts-sales.ru/parts/MAN/06072290019","06.07229-0019")</f>
        <v>06.07229-0019</v>
      </c>
      <c r="B507" s="13" t="str">
        <f>HYPERLINK("https://parts-sales.ru/parts/MAN/06072290019","Винт со сфероцил. гол. по мет. 6X14-T30-")</f>
        <v>Винт со сфероцил. гол. по мет. 6X14-T30-</v>
      </c>
      <c r="C507" s="5" t="s">
        <v>6</v>
      </c>
      <c r="D507" s="6">
        <v>129.6</v>
      </c>
      <c r="E507" s="6">
        <v>10</v>
      </c>
      <c r="F507" s="9">
        <v>0.92</v>
      </c>
      <c r="H507" s="11"/>
      <c r="I507" s="11"/>
      <c r="J507" s="11"/>
    </row>
    <row r="508" spans="1:10" ht="15.75" x14ac:dyDescent="0.3">
      <c r="A508" s="12" t="str">
        <f>HYPERLINK("https://parts-sales.ru/parts/MAN/06072490505","06.07249-0505")</f>
        <v>06.07249-0505</v>
      </c>
      <c r="B508" s="12" t="str">
        <f>HYPERLINK("https://parts-sales.ru/parts/MAN/06072490505","Винт с 6-гран. гол. по металлу ST4,2X16C")</f>
        <v>Винт с 6-гран. гол. по металлу ST4,2X16C</v>
      </c>
      <c r="C508" s="3" t="s">
        <v>6</v>
      </c>
      <c r="D508" s="4">
        <v>298.8</v>
      </c>
      <c r="E508" s="4">
        <v>81</v>
      </c>
      <c r="F508" s="8">
        <v>0.73</v>
      </c>
      <c r="H508" s="11"/>
      <c r="I508" s="11"/>
      <c r="J508" s="11"/>
    </row>
    <row r="509" spans="1:10" ht="15.75" x14ac:dyDescent="0.3">
      <c r="A509" s="13" t="str">
        <f>HYPERLINK("https://parts-sales.ru/parts/MAN/06080290000","06.08029-0000")</f>
        <v>06.08029-0000</v>
      </c>
      <c r="B509" s="13" t="str">
        <f>HYPERLINK("https://parts-sales.ru/parts/MAN/06080290000","Резьбовая заглушка M10X1-5.8-STD4111-B3-")</f>
        <v>Резьбовая заглушка M10X1-5.8-STD4111-B3-</v>
      </c>
      <c r="C509" s="5" t="s">
        <v>6</v>
      </c>
      <c r="D509" s="6">
        <v>466.8</v>
      </c>
      <c r="E509" s="6">
        <v>117</v>
      </c>
      <c r="F509" s="9">
        <v>0.75</v>
      </c>
      <c r="H509" s="11"/>
      <c r="I509" s="11"/>
      <c r="J509" s="11"/>
    </row>
    <row r="510" spans="1:10" ht="15.75" x14ac:dyDescent="0.3">
      <c r="A510" s="12" t="str">
        <f>HYPERLINK("https://parts-sales.ru/parts/MAN/06080290002","06.08029-0002")</f>
        <v>06.08029-0002</v>
      </c>
      <c r="B510" s="12" t="str">
        <f>HYPERLINK("https://parts-sales.ru/parts/MAN/06080290002","Резьбовая заглушка M12X1,5-5.8-STD4111-B")</f>
        <v>Резьбовая заглушка M12X1,5-5.8-STD4111-B</v>
      </c>
      <c r="C510" s="3" t="s">
        <v>6</v>
      </c>
      <c r="D510" s="4">
        <v>480</v>
      </c>
      <c r="E510" s="4">
        <v>129</v>
      </c>
      <c r="F510" s="8">
        <v>0.73</v>
      </c>
      <c r="H510" s="11"/>
      <c r="I510" s="11"/>
      <c r="J510" s="11"/>
    </row>
    <row r="511" spans="1:10" ht="15.75" x14ac:dyDescent="0.3">
      <c r="A511" s="13" t="str">
        <f>HYPERLINK("https://parts-sales.ru/parts/MAN/06080290003","06.08029-0003")</f>
        <v>06.08029-0003</v>
      </c>
      <c r="B511" s="13" t="str">
        <f>HYPERLINK("https://parts-sales.ru/parts/MAN/06080290003","Резьбовая заглушка M16X1,5-5.8-STD4111-B")</f>
        <v>Резьбовая заглушка M16X1,5-5.8-STD4111-B</v>
      </c>
      <c r="C511" s="5" t="s">
        <v>6</v>
      </c>
      <c r="D511" s="6">
        <v>638.4</v>
      </c>
      <c r="E511" s="6">
        <v>230</v>
      </c>
      <c r="F511" s="9">
        <v>0.64</v>
      </c>
      <c r="H511" s="11"/>
      <c r="I511" s="11"/>
      <c r="J511" s="11"/>
    </row>
    <row r="512" spans="1:10" ht="15.75" x14ac:dyDescent="0.3">
      <c r="A512" s="12" t="str">
        <f>HYPERLINK("https://parts-sales.ru/parts/MAN/06080450106","06.08045-0106")</f>
        <v>06.08045-0106</v>
      </c>
      <c r="B512" s="12" t="str">
        <f>HYPERLINK("https://parts-sales.ru/parts/MAN/06080450106","Резьбовая заглушка M20X1,5-PA-J-MAN318-S")</f>
        <v>Резьбовая заглушка M20X1,5-PA-J-MAN318-S</v>
      </c>
      <c r="C512" s="3" t="s">
        <v>6</v>
      </c>
      <c r="D512" s="4">
        <v>1274.4000000000001</v>
      </c>
      <c r="E512" s="4">
        <v>334</v>
      </c>
      <c r="F512" s="8">
        <v>0.74</v>
      </c>
      <c r="H512" s="11"/>
      <c r="I512" s="11"/>
      <c r="J512" s="11"/>
    </row>
    <row r="513" spans="1:10" ht="15.75" x14ac:dyDescent="0.3">
      <c r="A513" s="13" t="str">
        <f>HYPERLINK("https://parts-sales.ru/parts/MAN/06080490025","06.08049-0025")</f>
        <v>06.08049-0025</v>
      </c>
      <c r="B513" s="13" t="str">
        <f>HYPERLINK("https://parts-sales.ru/parts/MAN/06080490025","Резьбовая заглушка M22X1,5X11,5-CUZN-M.R")</f>
        <v>Резьбовая заглушка M22X1,5X11,5-CUZN-M.R</v>
      </c>
      <c r="C513" s="5" t="s">
        <v>6</v>
      </c>
      <c r="D513" s="6">
        <v>1416</v>
      </c>
      <c r="E513" s="6">
        <v>150</v>
      </c>
      <c r="F513" s="9">
        <v>0.89</v>
      </c>
      <c r="H513" s="11"/>
      <c r="I513" s="11"/>
      <c r="J513" s="11"/>
    </row>
    <row r="514" spans="1:10" ht="15.75" x14ac:dyDescent="0.3">
      <c r="A514" s="12" t="str">
        <f>HYPERLINK("https://parts-sales.ru/parts/MAN/06080490027","06.08049-0027")</f>
        <v>06.08049-0027</v>
      </c>
      <c r="B514" s="12" t="str">
        <f>HYPERLINK("https://parts-sales.ru/parts/MAN/06080490027","Резьбовая заглушка M33X2-ST-MAN183-B1")</f>
        <v>Резьбовая заглушка M33X2-ST-MAN183-B1</v>
      </c>
      <c r="C514" s="3" t="s">
        <v>6</v>
      </c>
      <c r="D514" s="4">
        <v>3210</v>
      </c>
      <c r="E514" s="4">
        <v>713</v>
      </c>
      <c r="F514" s="8">
        <v>0.78</v>
      </c>
      <c r="H514" s="11"/>
      <c r="I514" s="11"/>
      <c r="J514" s="11"/>
    </row>
    <row r="515" spans="1:10" ht="15.75" x14ac:dyDescent="0.3">
      <c r="A515" s="13" t="str">
        <f>HYPERLINK("https://parts-sales.ru/parts/MAN/06080490028","06.08049-0028")</f>
        <v>06.08049-0028</v>
      </c>
      <c r="B515" s="13" t="str">
        <f>HYPERLINK("https://parts-sales.ru/parts/MAN/06080490028","Резьбовая заглушка G1/2A-ST-MAN183-B1")</f>
        <v>Резьбовая заглушка G1/2A-ST-MAN183-B1</v>
      </c>
      <c r="C515" s="5" t="s">
        <v>6</v>
      </c>
      <c r="D515" s="6">
        <v>1437.6</v>
      </c>
      <c r="E515" s="6">
        <v>258</v>
      </c>
      <c r="F515" s="9">
        <v>0.82</v>
      </c>
      <c r="H515" s="11"/>
      <c r="I515" s="11"/>
      <c r="J515" s="11"/>
    </row>
    <row r="516" spans="1:10" ht="15.75" x14ac:dyDescent="0.3">
      <c r="A516" s="12" t="str">
        <f>HYPERLINK("https://parts-sales.ru/parts/MAN/06080490044","06.08049-0044")</f>
        <v>06.08049-0044</v>
      </c>
      <c r="B516" s="12" t="str">
        <f>HYPERLINK("https://parts-sales.ru/parts/MAN/06080490044","Резьбовая заглушка M12X1,5-ST-MAN183-B1")</f>
        <v>Резьбовая заглушка M12X1,5-ST-MAN183-B1</v>
      </c>
      <c r="C516" s="3" t="s">
        <v>6</v>
      </c>
      <c r="D516" s="4">
        <v>577.20000000000005</v>
      </c>
      <c r="E516" s="4">
        <v>109</v>
      </c>
      <c r="F516" s="8">
        <v>0.81</v>
      </c>
      <c r="H516" s="11"/>
      <c r="I516" s="11"/>
      <c r="J516" s="11"/>
    </row>
    <row r="517" spans="1:10" ht="15.75" x14ac:dyDescent="0.3">
      <c r="A517" s="13" t="str">
        <f>HYPERLINK("https://parts-sales.ru/parts/MAN/06080490046","06.08049-0046")</f>
        <v>06.08049-0046</v>
      </c>
      <c r="B517" s="13" t="str">
        <f>HYPERLINK("https://parts-sales.ru/parts/MAN/06080490046","Резьбовая заглушка M30X1,5-ST-MAN183-B1")</f>
        <v>Резьбовая заглушка M30X1,5-ST-MAN183-B1</v>
      </c>
      <c r="C517" s="5" t="s">
        <v>6</v>
      </c>
      <c r="D517" s="6">
        <v>1674</v>
      </c>
      <c r="E517" s="6">
        <v>346</v>
      </c>
      <c r="F517" s="9">
        <v>0.79</v>
      </c>
      <c r="H517" s="11"/>
      <c r="I517" s="11"/>
      <c r="J517" s="11"/>
    </row>
    <row r="518" spans="1:10" ht="15.75" x14ac:dyDescent="0.3">
      <c r="A518" s="12" t="str">
        <f>HYPERLINK("https://parts-sales.ru/parts/MAN/06080690028","06.08069-0028")</f>
        <v>06.08069-0028</v>
      </c>
      <c r="B518" s="12" t="str">
        <f>HYPERLINK("https://parts-sales.ru/parts/MAN/06080690028","Резьбовая заглушка M18X1,5-ST-A3C")</f>
        <v>Резьбовая заглушка M18X1,5-ST-A3C</v>
      </c>
      <c r="C518" s="3" t="s">
        <v>6</v>
      </c>
      <c r="D518" s="4">
        <v>1527.6</v>
      </c>
      <c r="E518" s="4">
        <v>350</v>
      </c>
      <c r="F518" s="8">
        <v>0.77</v>
      </c>
      <c r="H518" s="11"/>
      <c r="I518" s="11"/>
      <c r="J518" s="11"/>
    </row>
    <row r="519" spans="1:10" ht="15.75" x14ac:dyDescent="0.3">
      <c r="A519" s="13" t="str">
        <f>HYPERLINK("https://parts-sales.ru/parts/MAN/06080990025","06.08099-0025")</f>
        <v>06.08099-0025</v>
      </c>
      <c r="B519" s="13" t="str">
        <f>HYPERLINK("https://parts-sales.ru/parts/MAN/06080990025","Резьбовая заглушка AM14X1,5-ST-MAN183-B1")</f>
        <v>Резьбовая заглушка AM14X1,5-ST-MAN183-B1</v>
      </c>
      <c r="C519" s="5" t="s">
        <v>6</v>
      </c>
      <c r="D519" s="6">
        <v>919.2</v>
      </c>
      <c r="E519" s="6">
        <v>211</v>
      </c>
      <c r="F519" s="9">
        <v>0.77</v>
      </c>
      <c r="H519" s="11"/>
      <c r="I519" s="11"/>
      <c r="J519" s="11"/>
    </row>
    <row r="520" spans="1:10" ht="15.75" x14ac:dyDescent="0.3">
      <c r="A520" s="12" t="str">
        <f>HYPERLINK("https://parts-sales.ru/parts/MAN/06090190119","06.09019-0119")</f>
        <v>06.09019-0119</v>
      </c>
      <c r="B520" s="12" t="str">
        <f>HYPERLINK("https://parts-sales.ru/parts/MAN/06090190119","Пружинный винт AM18X1,5X350X14X28-8.8-MA")</f>
        <v>Пружинный винт AM18X1,5X350X14X28-8.8-MA</v>
      </c>
      <c r="C520" s="3" t="s">
        <v>6</v>
      </c>
      <c r="D520" s="4">
        <v>22008</v>
      </c>
      <c r="E520" s="4">
        <v>8309</v>
      </c>
      <c r="F520" s="8">
        <v>0.62</v>
      </c>
      <c r="H520" s="11"/>
      <c r="I520" s="11"/>
      <c r="J520" s="11"/>
    </row>
    <row r="521" spans="1:10" ht="15.75" x14ac:dyDescent="0.3">
      <c r="A521" s="13" t="str">
        <f>HYPERLINK("https://parts-sales.ru/parts/MAN/06090815812","06.09081-5812")</f>
        <v>06.09081-5812</v>
      </c>
      <c r="B521" s="13" t="str">
        <f>HYPERLINK("https://parts-sales.ru/parts/MAN/06090815812","Борозд. винт с 6-гран. голов. DEM8X25-MA")</f>
        <v>Борозд. винт с 6-гран. голов. DEM8X25-MA</v>
      </c>
      <c r="C521" s="5" t="s">
        <v>6</v>
      </c>
      <c r="D521" s="6">
        <v>211.2</v>
      </c>
      <c r="E521" s="6">
        <v>45</v>
      </c>
      <c r="F521" s="9">
        <v>0.79</v>
      </c>
      <c r="H521" s="11"/>
      <c r="I521" s="11"/>
      <c r="J521" s="11"/>
    </row>
    <row r="522" spans="1:10" ht="15.75" x14ac:dyDescent="0.3">
      <c r="A522" s="12" t="str">
        <f>HYPERLINK("https://parts-sales.ru/parts/MAN/06090890002","06.09089-0002")</f>
        <v>06.09089-0002</v>
      </c>
      <c r="B522" s="12" t="str">
        <f>HYPERLINK("https://parts-sales.ru/parts/MAN/06090890002","Самонарез.винт с плоск.головк. CEM6X20-S")</f>
        <v>Самонарез.винт с плоск.головк. CEM6X20-S</v>
      </c>
      <c r="C522" s="3" t="s">
        <v>6</v>
      </c>
      <c r="D522" s="4">
        <v>378</v>
      </c>
      <c r="E522" s="4">
        <v>61</v>
      </c>
      <c r="F522" s="8">
        <v>0.84</v>
      </c>
      <c r="H522" s="11"/>
      <c r="I522" s="11"/>
      <c r="J522" s="11"/>
    </row>
    <row r="523" spans="1:10" ht="15.75" x14ac:dyDescent="0.3">
      <c r="A523" s="13" t="str">
        <f>HYPERLINK("https://parts-sales.ru/parts/MAN/06090890016","06.09089-0016")</f>
        <v>06.09089-0016</v>
      </c>
      <c r="B523" s="13" t="str">
        <f>HYPERLINK("https://parts-sales.ru/parts/MAN/06090890016","Самонарез.винт с плоск.головк. CEM8X16-8")</f>
        <v>Самонарез.винт с плоск.головк. CEM8X16-8</v>
      </c>
      <c r="C523" s="5" t="s">
        <v>6</v>
      </c>
      <c r="D523" s="6">
        <v>1423.2</v>
      </c>
      <c r="E523" s="6">
        <v>81</v>
      </c>
      <c r="F523" s="9">
        <v>0.94</v>
      </c>
      <c r="H523" s="11"/>
      <c r="I523" s="11"/>
      <c r="J523" s="11"/>
    </row>
    <row r="524" spans="1:10" ht="15.75" x14ac:dyDescent="0.3">
      <c r="A524" s="12" t="str">
        <f>HYPERLINK("https://parts-sales.ru/parts/MAN/06090890031","06.09089-0031")</f>
        <v>06.09089-0031</v>
      </c>
      <c r="B524" s="12" t="str">
        <f>HYPERLINK("https://parts-sales.ru/parts/MAN/06090890031","Сферич. бороздк. винт M6X18-ST-T30-DELTA")</f>
        <v>Сферич. бороздк. винт M6X18-ST-T30-DELTA</v>
      </c>
      <c r="C524" s="3" t="s">
        <v>6</v>
      </c>
      <c r="D524" s="4">
        <v>285.60000000000002</v>
      </c>
      <c r="E524" s="4">
        <v>7</v>
      </c>
      <c r="F524" s="8">
        <v>0.98</v>
      </c>
      <c r="H524" s="11"/>
      <c r="I524" s="11"/>
      <c r="J524" s="11"/>
    </row>
    <row r="525" spans="1:10" ht="15.75" x14ac:dyDescent="0.3">
      <c r="A525" s="13" t="str">
        <f>HYPERLINK("https://parts-sales.ru/parts/MAN/06090890035","06.09089-0035")</f>
        <v>06.09089-0035</v>
      </c>
      <c r="B525" s="13" t="str">
        <f>HYPERLINK("https://parts-sales.ru/parts/MAN/06090890035","Лист. борозд. винт с цил. гол. D5X15,5-S")</f>
        <v>Лист. борозд. винт с цил. гол. D5X15,5-S</v>
      </c>
      <c r="C525" s="5" t="s">
        <v>6</v>
      </c>
      <c r="D525" s="6">
        <v>252</v>
      </c>
      <c r="E525" s="6">
        <v>3</v>
      </c>
      <c r="F525" s="9">
        <v>0.99</v>
      </c>
      <c r="H525" s="11"/>
      <c r="I525" s="11"/>
      <c r="J525" s="11"/>
    </row>
    <row r="526" spans="1:10" ht="15.75" x14ac:dyDescent="0.3">
      <c r="A526" s="12" t="str">
        <f>HYPERLINK("https://parts-sales.ru/parts/MAN/06090890038","06.09089-0038")</f>
        <v>06.09089-0038</v>
      </c>
      <c r="B526" s="12" t="str">
        <f>HYPERLINK("https://parts-sales.ru/parts/MAN/06090890038","Самонарез.винт с плоск.головк. M6X14")</f>
        <v>Самонарез.винт с плоск.головк. M6X14</v>
      </c>
      <c r="C526" s="3" t="s">
        <v>6</v>
      </c>
      <c r="D526" s="4">
        <v>176.4</v>
      </c>
      <c r="E526" s="4">
        <v>37</v>
      </c>
      <c r="F526" s="8">
        <v>0.79</v>
      </c>
      <c r="H526" s="11"/>
      <c r="I526" s="11"/>
      <c r="J526" s="11"/>
    </row>
    <row r="527" spans="1:10" ht="15.75" x14ac:dyDescent="0.3">
      <c r="A527" s="13" t="str">
        <f>HYPERLINK("https://parts-sales.ru/parts/MAN/06090890056","06.09089-0056")</f>
        <v>06.09089-0056</v>
      </c>
      <c r="B527" s="13" t="str">
        <f>HYPERLINK("https://parts-sales.ru/parts/MAN/06090890056","Самонарез.винт с плоск.головк. PEM6X20-M")</f>
        <v>Самонарез.винт с плоск.головк. PEM6X20-M</v>
      </c>
      <c r="C527" s="5" t="s">
        <v>6</v>
      </c>
      <c r="D527" s="6">
        <v>176.4</v>
      </c>
      <c r="E527" s="6">
        <v>3</v>
      </c>
      <c r="F527" s="9">
        <v>0.98</v>
      </c>
      <c r="H527" s="11"/>
      <c r="I527" s="11"/>
      <c r="J527" s="11"/>
    </row>
    <row r="528" spans="1:10" ht="15.75" x14ac:dyDescent="0.3">
      <c r="A528" s="12" t="str">
        <f>HYPERLINK("https://parts-sales.ru/parts/MAN/06090890061","06.09089-0061")</f>
        <v>06.09089-0061</v>
      </c>
      <c r="B528" s="12" t="str">
        <f>HYPERLINK("https://parts-sales.ru/parts/MAN/06090890061","Лист. борозд. винт с цил. гол. 5X12-ST-T")</f>
        <v>Лист. борозд. винт с цил. гол. 5X12-ST-T</v>
      </c>
      <c r="C528" s="3" t="s">
        <v>6</v>
      </c>
      <c r="D528" s="4">
        <v>102</v>
      </c>
      <c r="E528" s="4">
        <v>4</v>
      </c>
      <c r="F528" s="8">
        <v>0.96</v>
      </c>
      <c r="H528" s="11"/>
      <c r="I528" s="11"/>
      <c r="J528" s="11"/>
    </row>
    <row r="529" spans="1:10" ht="15.75" x14ac:dyDescent="0.3">
      <c r="A529" s="13" t="str">
        <f>HYPERLINK("https://parts-sales.ru/parts/MAN/06110642110","06.11064-2110")</f>
        <v>06.11064-2110</v>
      </c>
      <c r="B529" s="13" t="str">
        <f>HYPERLINK("https://parts-sales.ru/parts/MAN/06110642110","Шестигранная гайка M4-8-MAN183-B1")</f>
        <v>Шестигранная гайка M4-8-MAN183-B1</v>
      </c>
      <c r="C529" s="5" t="s">
        <v>6</v>
      </c>
      <c r="D529" s="6">
        <v>205.2</v>
      </c>
      <c r="E529" s="6">
        <v>46</v>
      </c>
      <c r="F529" s="9">
        <v>0.78</v>
      </c>
      <c r="H529" s="11"/>
      <c r="I529" s="11"/>
      <c r="J529" s="11"/>
    </row>
    <row r="530" spans="1:10" ht="15.75" x14ac:dyDescent="0.3">
      <c r="A530" s="12" t="str">
        <f>HYPERLINK("https://parts-sales.ru/parts/MAN/06110642111","06.11064-2111")</f>
        <v>06.11064-2111</v>
      </c>
      <c r="B530" s="12" t="str">
        <f>HYPERLINK("https://parts-sales.ru/parts/MAN/06110642111","Шестигранная гайка M5-8-MAN183-B1")</f>
        <v>Шестигранная гайка M5-8-MAN183-B1</v>
      </c>
      <c r="C530" s="3" t="s">
        <v>6</v>
      </c>
      <c r="D530" s="4">
        <v>198</v>
      </c>
      <c r="E530" s="4">
        <v>2</v>
      </c>
      <c r="F530" s="8">
        <v>0.99</v>
      </c>
      <c r="H530" s="11"/>
      <c r="I530" s="11"/>
      <c r="J530" s="11"/>
    </row>
    <row r="531" spans="1:10" ht="15.75" x14ac:dyDescent="0.3">
      <c r="A531" s="13" t="str">
        <f>HYPERLINK("https://parts-sales.ru/parts/MAN/06110642114","06.11064-2114")</f>
        <v>06.11064-2114</v>
      </c>
      <c r="B531" s="13" t="str">
        <f>HYPERLINK("https://parts-sales.ru/parts/MAN/06110642114","Шестигранная гайка M8-8-MAN183-B1")</f>
        <v>Шестигранная гайка M8-8-MAN183-B1</v>
      </c>
      <c r="C531" s="5" t="s">
        <v>6</v>
      </c>
      <c r="D531" s="6">
        <v>216</v>
      </c>
      <c r="E531" s="6">
        <v>95</v>
      </c>
      <c r="F531" s="9">
        <v>0.56000000000000005</v>
      </c>
      <c r="H531" s="11"/>
      <c r="I531" s="11"/>
      <c r="J531" s="11"/>
    </row>
    <row r="532" spans="1:10" ht="15.75" x14ac:dyDescent="0.3">
      <c r="A532" s="12" t="str">
        <f>HYPERLINK("https://parts-sales.ru/parts/MAN/06110642115","06.11064-2115")</f>
        <v>06.11064-2115</v>
      </c>
      <c r="B532" s="12" t="str">
        <f>HYPERLINK("https://parts-sales.ru/parts/MAN/06110642115","Шестигранная гайка M10-8-MAN183-B1")</f>
        <v>Шестигранная гайка M10-8-MAN183-B1</v>
      </c>
      <c r="C532" s="3" t="s">
        <v>6</v>
      </c>
      <c r="D532" s="4">
        <v>223.2</v>
      </c>
      <c r="E532" s="4">
        <v>29</v>
      </c>
      <c r="F532" s="8">
        <v>0.87</v>
      </c>
      <c r="H532" s="11"/>
      <c r="I532" s="11"/>
      <c r="J532" s="11"/>
    </row>
    <row r="533" spans="1:10" ht="15.75" x14ac:dyDescent="0.3">
      <c r="A533" s="13" t="str">
        <f>HYPERLINK("https://parts-sales.ru/parts/MAN/06110642116","06.11064-2116")</f>
        <v>06.11064-2116</v>
      </c>
      <c r="B533" s="13" t="str">
        <f>HYPERLINK("https://parts-sales.ru/parts/MAN/06110642116","Шестигранная гайка M12-8-MAN183-B1")</f>
        <v>Шестигранная гайка M12-8-MAN183-B1</v>
      </c>
      <c r="C533" s="5" t="s">
        <v>6</v>
      </c>
      <c r="D533" s="6">
        <v>268.8</v>
      </c>
      <c r="E533" s="6">
        <v>80</v>
      </c>
      <c r="F533" s="9">
        <v>0.7</v>
      </c>
      <c r="H533" s="11"/>
      <c r="I533" s="11"/>
      <c r="J533" s="11"/>
    </row>
    <row r="534" spans="1:10" ht="15.75" x14ac:dyDescent="0.3">
      <c r="A534" s="12" t="str">
        <f>HYPERLINK("https://parts-sales.ru/parts/MAN/06110642166","06.11064-2166")</f>
        <v>06.11064-2166</v>
      </c>
      <c r="B534" s="12" t="str">
        <f>HYPERLINK("https://parts-sales.ru/parts/MAN/06110642166","Шестигранная гайка M12LH-8-MAN183-B1")</f>
        <v>Шестигранная гайка M12LH-8-MAN183-B1</v>
      </c>
      <c r="C534" s="3" t="s">
        <v>6</v>
      </c>
      <c r="D534" s="4">
        <v>330</v>
      </c>
      <c r="E534" s="4">
        <v>38</v>
      </c>
      <c r="F534" s="8">
        <v>0.88</v>
      </c>
      <c r="H534" s="11"/>
      <c r="I534" s="11"/>
      <c r="J534" s="11"/>
    </row>
    <row r="535" spans="1:10" ht="15.75" x14ac:dyDescent="0.3">
      <c r="A535" s="13" t="str">
        <f>HYPERLINK("https://parts-sales.ru/parts/MAN/06110642315","06.11064-2315")</f>
        <v>06.11064-2315</v>
      </c>
      <c r="B535" s="13" t="str">
        <f>HYPERLINK("https://parts-sales.ru/parts/MAN/06110642315","Шестигранная гайка M10X1-8-MAN183-B1")</f>
        <v>Шестигранная гайка M10X1-8-MAN183-B1</v>
      </c>
      <c r="C535" s="5" t="s">
        <v>6</v>
      </c>
      <c r="D535" s="6">
        <v>1515.6</v>
      </c>
      <c r="E535" s="6">
        <v>236</v>
      </c>
      <c r="F535" s="9">
        <v>0.84</v>
      </c>
      <c r="H535" s="11"/>
      <c r="I535" s="11"/>
      <c r="J535" s="11"/>
    </row>
    <row r="536" spans="1:10" ht="15.75" x14ac:dyDescent="0.3">
      <c r="A536" s="12" t="str">
        <f>HYPERLINK("https://parts-sales.ru/parts/MAN/06110642316","06.11064-2316")</f>
        <v>06.11064-2316</v>
      </c>
      <c r="B536" s="12" t="str">
        <f>HYPERLINK("https://parts-sales.ru/parts/MAN/06110642316","Шестигранная гайка M12X1,5-8-MAN183-B1")</f>
        <v>Шестигранная гайка M12X1,5-8-MAN183-B1</v>
      </c>
      <c r="C536" s="3" t="s">
        <v>6</v>
      </c>
      <c r="D536" s="4">
        <v>285.60000000000002</v>
      </c>
      <c r="E536" s="4">
        <v>128</v>
      </c>
      <c r="F536" s="8">
        <v>0.55000000000000004</v>
      </c>
      <c r="H536" s="11"/>
      <c r="I536" s="11"/>
      <c r="J536" s="11"/>
    </row>
    <row r="537" spans="1:10" ht="15.75" x14ac:dyDescent="0.3">
      <c r="A537" s="13" t="str">
        <f>HYPERLINK("https://parts-sales.ru/parts/MAN/06110642368","06.11064-2368")</f>
        <v>06.11064-2368</v>
      </c>
      <c r="B537" s="13" t="str">
        <f>HYPERLINK("https://parts-sales.ru/parts/MAN/06110642368","Шестигранная гайка M16X1,5-8-MAN183-B1")</f>
        <v>Шестигранная гайка M16X1,5-8-MAN183-B1</v>
      </c>
      <c r="C537" s="5" t="s">
        <v>6</v>
      </c>
      <c r="D537" s="6">
        <v>374.4</v>
      </c>
      <c r="E537" s="6">
        <v>97</v>
      </c>
      <c r="F537" s="9">
        <v>0.74</v>
      </c>
      <c r="H537" s="11"/>
      <c r="I537" s="11"/>
      <c r="J537" s="11"/>
    </row>
    <row r="538" spans="1:10" ht="15.75" x14ac:dyDescent="0.3">
      <c r="A538" s="12" t="str">
        <f>HYPERLINK("https://parts-sales.ru/parts/MAN/06110652114","06.11065-2114")</f>
        <v>06.11065-2114</v>
      </c>
      <c r="B538" s="12" t="str">
        <f>HYPERLINK("https://parts-sales.ru/parts/MAN/06110652114","Шестигранная гайка M8-10-MAN183-B1")</f>
        <v>Шестигранная гайка M8-10-MAN183-B1</v>
      </c>
      <c r="C538" s="3" t="s">
        <v>6</v>
      </c>
      <c r="D538" s="4">
        <v>202.8</v>
      </c>
      <c r="E538" s="4">
        <v>4</v>
      </c>
      <c r="F538" s="8">
        <v>0.98</v>
      </c>
      <c r="H538" s="11"/>
      <c r="I538" s="11"/>
      <c r="J538" s="11"/>
    </row>
    <row r="539" spans="1:10" ht="15.75" x14ac:dyDescent="0.3">
      <c r="A539" s="13" t="str">
        <f>HYPERLINK("https://parts-sales.ru/parts/MAN/06110652119","06.11065-2119")</f>
        <v>06.11065-2119</v>
      </c>
      <c r="B539" s="13" t="str">
        <f>HYPERLINK("https://parts-sales.ru/parts/MAN/06110652119","Шестигранная гайка M18-10-MAN183-B1")</f>
        <v>Шестигранная гайка M18-10-MAN183-B1</v>
      </c>
      <c r="C539" s="5" t="s">
        <v>6</v>
      </c>
      <c r="D539" s="6">
        <v>739.2</v>
      </c>
      <c r="E539" s="6">
        <v>71</v>
      </c>
      <c r="F539" s="9">
        <v>0.9</v>
      </c>
      <c r="H539" s="11"/>
      <c r="I539" s="11"/>
      <c r="J539" s="11"/>
    </row>
    <row r="540" spans="1:10" ht="15.75" x14ac:dyDescent="0.3">
      <c r="A540" s="12" t="str">
        <f>HYPERLINK("https://parts-sales.ru/parts/MAN/06110652222","06.11065-2222")</f>
        <v>06.11065-2222</v>
      </c>
      <c r="B540" s="12" t="str">
        <f>HYPERLINK("https://parts-sales.ru/parts/MAN/06110652222","Шестигранная гайка M24X2-10-MAN183-B1")</f>
        <v>Шестигранная гайка M24X2-10-MAN183-B1</v>
      </c>
      <c r="C540" s="3" t="s">
        <v>6</v>
      </c>
      <c r="D540" s="4">
        <v>194.07</v>
      </c>
      <c r="E540" s="4">
        <v>130</v>
      </c>
      <c r="F540" s="8">
        <v>0.33</v>
      </c>
      <c r="H540" s="11"/>
      <c r="I540" s="11"/>
      <c r="J540" s="11"/>
    </row>
    <row r="541" spans="1:10" ht="15.75" x14ac:dyDescent="0.3">
      <c r="A541" s="13" t="str">
        <f>HYPERLINK("https://parts-sales.ru/parts/MAN/06110652318","06.11065-2318")</f>
        <v>06.11065-2318</v>
      </c>
      <c r="B541" s="13" t="str">
        <f>HYPERLINK("https://parts-sales.ru/parts/MAN/06110652318","Шестигранная гайка M16X1,5-10-MAN183-B1")</f>
        <v>Шестигранная гайка M16X1,5-10-MAN183-B1</v>
      </c>
      <c r="C541" s="5" t="s">
        <v>6</v>
      </c>
      <c r="D541" s="6">
        <v>447.6</v>
      </c>
      <c r="E541" s="6">
        <v>147</v>
      </c>
      <c r="F541" s="9">
        <v>0.67</v>
      </c>
      <c r="H541" s="11"/>
      <c r="I541" s="11"/>
      <c r="J541" s="11"/>
    </row>
    <row r="542" spans="1:10" ht="15.75" x14ac:dyDescent="0.3">
      <c r="A542" s="12" t="str">
        <f>HYPERLINK("https://parts-sales.ru/parts/MAN/06110690122","06.11069-0122")</f>
        <v>06.11069-0122</v>
      </c>
      <c r="B542" s="12" t="str">
        <f>HYPERLINK("https://parts-sales.ru/parts/MAN/06110690122","Шестигранная гайка M4-PA6.6")</f>
        <v>Шестигранная гайка M4-PA6.6</v>
      </c>
      <c r="C542" s="3" t="s">
        <v>6</v>
      </c>
      <c r="D542" s="4">
        <v>202.8</v>
      </c>
      <c r="E542" s="4">
        <v>34</v>
      </c>
      <c r="F542" s="8">
        <v>0.83</v>
      </c>
      <c r="H542" s="11"/>
      <c r="I542" s="11"/>
      <c r="J542" s="11"/>
    </row>
    <row r="543" spans="1:10" ht="15.75" x14ac:dyDescent="0.3">
      <c r="A543" s="13" t="str">
        <f>HYPERLINK("https://parts-sales.ru/parts/MAN/06110690156","06.11069-0156")</f>
        <v>06.11069-0156</v>
      </c>
      <c r="B543" s="13" t="str">
        <f>HYPERLINK("https://parts-sales.ru/parts/MAN/06110690156","6-гран. гайка с буртиком M6-6SC-8-SW10-M")</f>
        <v>6-гран. гайка с буртиком M6-6SC-8-SW10-M</v>
      </c>
      <c r="C543" s="5" t="s">
        <v>6</v>
      </c>
      <c r="D543" s="6">
        <v>216</v>
      </c>
      <c r="E543" s="6">
        <v>2</v>
      </c>
      <c r="F543" s="9">
        <v>0.99</v>
      </c>
      <c r="H543" s="11"/>
      <c r="I543" s="11"/>
      <c r="J543" s="11"/>
    </row>
    <row r="544" spans="1:10" ht="15.75" x14ac:dyDescent="0.3">
      <c r="A544" s="12" t="str">
        <f>HYPERLINK("https://parts-sales.ru/parts/MAN/06110690158","06.11069-0158")</f>
        <v>06.11069-0158</v>
      </c>
      <c r="B544" s="12" t="str">
        <f>HYPERLINK("https://parts-sales.ru/parts/MAN/06110690158","Шестигранная гайка M8-8-MAN183-B4")</f>
        <v>Шестигранная гайка M8-8-MAN183-B4</v>
      </c>
      <c r="C544" s="3" t="s">
        <v>6</v>
      </c>
      <c r="D544" s="4">
        <v>244.8</v>
      </c>
      <c r="E544" s="4">
        <v>72</v>
      </c>
      <c r="F544" s="8">
        <v>0.71</v>
      </c>
      <c r="H544" s="11"/>
      <c r="I544" s="11"/>
      <c r="J544" s="11"/>
    </row>
    <row r="545" spans="1:10" ht="15.75" x14ac:dyDescent="0.3">
      <c r="A545" s="13" t="str">
        <f>HYPERLINK("https://parts-sales.ru/parts/MAN/06110690179","06.11069-0179")</f>
        <v>06.11069-0179</v>
      </c>
      <c r="B545" s="13" t="str">
        <f>HYPERLINK("https://parts-sales.ru/parts/MAN/06110690179","Шестигранная гайка M10-6-MAN183-B11")</f>
        <v>Шестигранная гайка M10-6-MAN183-B11</v>
      </c>
      <c r="C545" s="5" t="s">
        <v>6</v>
      </c>
      <c r="D545" s="6">
        <v>266.39999999999998</v>
      </c>
      <c r="E545" s="6">
        <v>9</v>
      </c>
      <c r="F545" s="9">
        <v>0.97</v>
      </c>
      <c r="H545" s="11"/>
      <c r="I545" s="11"/>
      <c r="J545" s="11"/>
    </row>
    <row r="546" spans="1:10" ht="15.75" x14ac:dyDescent="0.3">
      <c r="A546" s="12" t="str">
        <f>HYPERLINK("https://parts-sales.ru/parts/MAN/06110690211","06.11069-0211")</f>
        <v>06.11069-0211</v>
      </c>
      <c r="B546" s="12" t="str">
        <f>HYPERLINK("https://parts-sales.ru/parts/MAN/06110690211","Шестигранная гайка M20X1,5-8-A-ZN8/CN/TO")</f>
        <v>Шестигранная гайка M20X1,5-8-A-ZN8/CN/TO</v>
      </c>
      <c r="C546" s="3" t="s">
        <v>6</v>
      </c>
      <c r="D546" s="4">
        <v>440.4</v>
      </c>
      <c r="E546" s="4">
        <v>103</v>
      </c>
      <c r="F546" s="8">
        <v>0.77</v>
      </c>
      <c r="H546" s="11"/>
      <c r="I546" s="11"/>
      <c r="J546" s="11"/>
    </row>
    <row r="547" spans="1:10" ht="15.75" x14ac:dyDescent="0.3">
      <c r="A547" s="13" t="str">
        <f>HYPERLINK("https://parts-sales.ru/parts/MAN/06110951105","06.11095-1105")</f>
        <v>06.11095-1105</v>
      </c>
      <c r="B547" s="13" t="str">
        <f>HYPERLINK("https://parts-sales.ru/parts/MAN/06110951105","6-гранная стопорная гайка M8-8-MAN183-B4")</f>
        <v>6-гранная стопорная гайка M8-8-MAN183-B4</v>
      </c>
      <c r="C547" s="5" t="s">
        <v>6</v>
      </c>
      <c r="D547" s="6">
        <v>266.39999999999998</v>
      </c>
      <c r="E547" s="6">
        <v>57</v>
      </c>
      <c r="F547" s="9">
        <v>0.79</v>
      </c>
      <c r="H547" s="11"/>
      <c r="I547" s="11"/>
      <c r="J547" s="11"/>
    </row>
    <row r="548" spans="1:10" ht="15.75" x14ac:dyDescent="0.3">
      <c r="A548" s="12" t="str">
        <f>HYPERLINK("https://parts-sales.ru/parts/MAN/06110990047","06.11099-0047")</f>
        <v>06.11099-0047</v>
      </c>
      <c r="B548" s="12" t="str">
        <f>HYPERLINK("https://parts-sales.ru/parts/MAN/06110990047","6-гранная стопорная гайка M4-A2-80")</f>
        <v>6-гранная стопорная гайка M4-A2-80</v>
      </c>
      <c r="C548" s="3" t="s">
        <v>6</v>
      </c>
      <c r="D548" s="4">
        <v>118.8</v>
      </c>
      <c r="E548" s="4">
        <v>6</v>
      </c>
      <c r="F548" s="8">
        <v>0.95</v>
      </c>
      <c r="H548" s="11"/>
      <c r="I548" s="11"/>
      <c r="J548" s="11"/>
    </row>
    <row r="549" spans="1:10" ht="15.75" x14ac:dyDescent="0.3">
      <c r="A549" s="13" t="str">
        <f>HYPERLINK("https://parts-sales.ru/parts/MAN/06111648351","06.11164-8351")</f>
        <v>06.11164-8351</v>
      </c>
      <c r="B549" s="13" t="str">
        <f>HYPERLINK("https://parts-sales.ru/parts/MAN/06111648351","6-гран. уплотнительная гайка M10X1-MAN18")</f>
        <v>6-гран. уплотнительная гайка M10X1-MAN18</v>
      </c>
      <c r="C549" s="5" t="s">
        <v>6</v>
      </c>
      <c r="D549" s="6">
        <v>976.8</v>
      </c>
      <c r="E549" s="6">
        <v>6</v>
      </c>
      <c r="F549" s="9">
        <v>0.99</v>
      </c>
      <c r="H549" s="11"/>
      <c r="I549" s="11"/>
      <c r="J549" s="11"/>
    </row>
    <row r="550" spans="1:10" ht="15.75" x14ac:dyDescent="0.3">
      <c r="A550" s="12" t="str">
        <f>HYPERLINK("https://parts-sales.ru/parts/MAN/06111648357","06.11164-8357")</f>
        <v>06.11164-8357</v>
      </c>
      <c r="B550" s="12" t="str">
        <f>HYPERLINK("https://parts-sales.ru/parts/MAN/06111648357","6-гран. уплотнительная гайка M22X1,5-MAN")</f>
        <v>6-гран. уплотнительная гайка M22X1,5-MAN</v>
      </c>
      <c r="C550" s="3" t="s">
        <v>6</v>
      </c>
      <c r="D550" s="4">
        <v>379.2</v>
      </c>
      <c r="E550" s="4">
        <v>15</v>
      </c>
      <c r="F550" s="8">
        <v>0.96</v>
      </c>
      <c r="H550" s="11"/>
      <c r="I550" s="11"/>
      <c r="J550" s="11"/>
    </row>
    <row r="551" spans="1:10" ht="15.75" x14ac:dyDescent="0.3">
      <c r="A551" s="13" t="str">
        <f>HYPERLINK("https://parts-sales.ru/parts/MAN/06111648359","06.11164-8359")</f>
        <v>06.11164-8359</v>
      </c>
      <c r="B551" s="13" t="str">
        <f>HYPERLINK("https://parts-sales.ru/parts/MAN/06111648359","6-гран. уплотнительная гайка M26X1,5-MAN")</f>
        <v>6-гран. уплотнительная гайка M26X1,5-MAN</v>
      </c>
      <c r="C551" s="5" t="s">
        <v>6</v>
      </c>
      <c r="D551" s="6">
        <v>1140</v>
      </c>
      <c r="E551" s="6">
        <v>266</v>
      </c>
      <c r="F551" s="9">
        <v>0.77</v>
      </c>
      <c r="H551" s="11"/>
      <c r="I551" s="11"/>
      <c r="J551" s="11"/>
    </row>
    <row r="552" spans="1:10" ht="15.75" x14ac:dyDescent="0.3">
      <c r="A552" s="12" t="str">
        <f>HYPERLINK("https://parts-sales.ru/parts/MAN/06111690006","06.11169-0006")</f>
        <v>06.11169-0006</v>
      </c>
      <c r="B552" s="12" t="str">
        <f>HYPERLINK("https://parts-sales.ru/parts/MAN/06111690006","6-гран. уплотнительная гайка M12X1,5-6-M")</f>
        <v>6-гран. уплотнительная гайка M12X1,5-6-M</v>
      </c>
      <c r="C552" s="3" t="s">
        <v>6</v>
      </c>
      <c r="D552" s="4">
        <v>840</v>
      </c>
      <c r="E552" s="4">
        <v>52</v>
      </c>
      <c r="F552" s="8">
        <v>0.94</v>
      </c>
      <c r="H552" s="11"/>
      <c r="I552" s="11"/>
      <c r="J552" s="11"/>
    </row>
    <row r="553" spans="1:10" ht="15.75" x14ac:dyDescent="0.3">
      <c r="A553" s="13" t="str">
        <f>HYPERLINK("https://parts-sales.ru/parts/MAN/06111690007","06.11169-0007")</f>
        <v>06.11169-0007</v>
      </c>
      <c r="B553" s="13" t="str">
        <f>HYPERLINK("https://parts-sales.ru/parts/MAN/06111690007","6-гран. уплотнительная гайка M16X1,5-6-M")</f>
        <v>6-гран. уплотнительная гайка M16X1,5-6-M</v>
      </c>
      <c r="C553" s="5" t="s">
        <v>6</v>
      </c>
      <c r="D553" s="6">
        <v>469.2</v>
      </c>
      <c r="E553" s="6">
        <v>56</v>
      </c>
      <c r="F553" s="9">
        <v>0.88</v>
      </c>
      <c r="H553" s="11"/>
      <c r="I553" s="11"/>
      <c r="J553" s="11"/>
    </row>
    <row r="554" spans="1:10" ht="15.75" x14ac:dyDescent="0.3">
      <c r="A554" s="12" t="str">
        <f>HYPERLINK("https://parts-sales.ru/parts/MAN/06111690016","06.11169-0016")</f>
        <v>06.11169-0016</v>
      </c>
      <c r="B554" s="12" t="str">
        <f>HYPERLINK("https://parts-sales.ru/parts/MAN/06111690016","Шестигранная гайка M22X1-ST-FE/ZNNI8/CN/")</f>
        <v>Шестигранная гайка M22X1-ST-FE/ZNNI8/CN/</v>
      </c>
      <c r="C554" s="3" t="s">
        <v>6</v>
      </c>
      <c r="D554" s="4">
        <v>378</v>
      </c>
      <c r="E554" s="4">
        <v>81</v>
      </c>
      <c r="F554" s="8">
        <v>0.79</v>
      </c>
      <c r="H554" s="11"/>
      <c r="I554" s="11"/>
      <c r="J554" s="11"/>
    </row>
    <row r="555" spans="1:10" ht="15.75" x14ac:dyDescent="0.3">
      <c r="A555" s="13" t="str">
        <f>HYPERLINK("https://parts-sales.ru/parts/MAN/06111810115","06.11181-0115")</f>
        <v>06.11181-0115</v>
      </c>
      <c r="B555" s="13" t="str">
        <f>HYPERLINK("https://parts-sales.ru/parts/MAN/06111810115","Шестигранная гайка M10-A2-70")</f>
        <v>Шестигранная гайка M10-A2-70</v>
      </c>
      <c r="C555" s="5" t="s">
        <v>6</v>
      </c>
      <c r="D555" s="6">
        <v>258</v>
      </c>
      <c r="E555" s="6">
        <v>3</v>
      </c>
      <c r="F555" s="9">
        <v>0.99</v>
      </c>
      <c r="H555" s="11"/>
      <c r="I555" s="11"/>
      <c r="J555" s="11"/>
    </row>
    <row r="556" spans="1:10" ht="15.75" x14ac:dyDescent="0.3">
      <c r="A556" s="12" t="str">
        <f>HYPERLINK("https://parts-sales.ru/parts/MAN/06112220215","06.11222-0215")</f>
        <v>06.11222-0215</v>
      </c>
      <c r="B556" s="12" t="str">
        <f>HYPERLINK("https://parts-sales.ru/parts/MAN/06112220215","Плоская гайка с буртиком B20-10-SW27-ZNP")</f>
        <v>Плоская гайка с буртиком B20-10-SW27-ZNP</v>
      </c>
      <c r="C556" s="3" t="s">
        <v>6</v>
      </c>
      <c r="D556" s="4">
        <v>840</v>
      </c>
      <c r="E556" s="4">
        <v>166</v>
      </c>
      <c r="F556" s="8">
        <v>0.8</v>
      </c>
      <c r="H556" s="11"/>
      <c r="I556" s="11"/>
      <c r="J556" s="11"/>
    </row>
    <row r="557" spans="1:10" ht="15.75" x14ac:dyDescent="0.3">
      <c r="A557" s="13" t="str">
        <f>HYPERLINK("https://parts-sales.ru/parts/MAN/06112220515","06.11222-0515")</f>
        <v>06.11222-0515</v>
      </c>
      <c r="B557" s="13" t="str">
        <f>HYPERLINK("https://parts-sales.ru/parts/MAN/06112220515","Плоская гайка с буртиком B20-10-SW27-MAN")</f>
        <v>Плоская гайка с буртиком B20-10-SW27-MAN</v>
      </c>
      <c r="C557" s="5" t="s">
        <v>6</v>
      </c>
      <c r="D557" s="6">
        <v>724.8</v>
      </c>
      <c r="E557" s="6">
        <v>30</v>
      </c>
      <c r="F557" s="9">
        <v>0.96</v>
      </c>
      <c r="H557" s="11"/>
      <c r="I557" s="11"/>
      <c r="J557" s="11"/>
    </row>
    <row r="558" spans="1:10" ht="15.75" x14ac:dyDescent="0.3">
      <c r="A558" s="12" t="str">
        <f>HYPERLINK("https://parts-sales.ru/parts/MAN/06112221020","06.11222-1020")</f>
        <v>06.11222-1020</v>
      </c>
      <c r="B558" s="12" t="str">
        <f>HYPERLINK("https://parts-sales.ru/parts/MAN/06112221020","6-гран. гайка с буртиком M18X2-10-S-SW27")</f>
        <v>6-гран. гайка с буртиком M18X2-10-S-SW27</v>
      </c>
      <c r="C558" s="3" t="s">
        <v>6</v>
      </c>
      <c r="D558" s="4">
        <v>414</v>
      </c>
      <c r="E558" s="4">
        <v>31</v>
      </c>
      <c r="F558" s="8">
        <v>0.93</v>
      </c>
      <c r="H558" s="11"/>
      <c r="I558" s="11"/>
      <c r="J558" s="11"/>
    </row>
    <row r="559" spans="1:10" ht="15.75" x14ac:dyDescent="0.3">
      <c r="A559" s="13" t="str">
        <f>HYPERLINK("https://parts-sales.ru/parts/MAN/06112226309","06.11222-6309")</f>
        <v>06.11222-6309</v>
      </c>
      <c r="B559" s="13" t="str">
        <f>HYPERLINK("https://parts-sales.ru/parts/MAN/06112226309","6-гран. стопорн. наборн. гайка M14X1,5-1")</f>
        <v>6-гран. стопорн. наборн. гайка M14X1,5-1</v>
      </c>
      <c r="C559" s="5" t="s">
        <v>6</v>
      </c>
      <c r="D559" s="6">
        <v>613.20000000000005</v>
      </c>
      <c r="E559" s="6">
        <v>132</v>
      </c>
      <c r="F559" s="9">
        <v>0.78</v>
      </c>
      <c r="H559" s="11"/>
      <c r="I559" s="11"/>
      <c r="J559" s="11"/>
    </row>
    <row r="560" spans="1:10" ht="15.75" x14ac:dyDescent="0.3">
      <c r="A560" s="12" t="str">
        <f>HYPERLINK("https://parts-sales.ru/parts/MAN/06112226507","06.11222-6507")</f>
        <v>06.11222-6507</v>
      </c>
      <c r="B560" s="12" t="str">
        <f>HYPERLINK("https://parts-sales.ru/parts/MAN/06112226507","6-гран. стопорн. наборн. гайка M12X1,5-S")</f>
        <v>6-гран. стопорн. наборн. гайка M12X1,5-S</v>
      </c>
      <c r="C560" s="3" t="s">
        <v>6</v>
      </c>
      <c r="D560" s="4">
        <v>420</v>
      </c>
      <c r="E560" s="4">
        <v>184</v>
      </c>
      <c r="F560" s="8">
        <v>0.56000000000000005</v>
      </c>
      <c r="H560" s="11"/>
      <c r="I560" s="11"/>
      <c r="J560" s="11"/>
    </row>
    <row r="561" spans="1:10" ht="15.75" x14ac:dyDescent="0.3">
      <c r="A561" s="13" t="str">
        <f>HYPERLINK("https://parts-sales.ru/parts/MAN/06112226511","06.11222-6511")</f>
        <v>06.11222-6511</v>
      </c>
      <c r="B561" s="13" t="str">
        <f>HYPERLINK("https://parts-sales.ru/parts/MAN/06112226511","6-гран. стопорн. наборн. гайка M16X1,5-S")</f>
        <v>6-гран. стопорн. наборн. гайка M16X1,5-S</v>
      </c>
      <c r="C561" s="5" t="s">
        <v>6</v>
      </c>
      <c r="D561" s="6">
        <v>1573.2</v>
      </c>
      <c r="E561" s="6">
        <v>305</v>
      </c>
      <c r="F561" s="9">
        <v>0.81</v>
      </c>
      <c r="H561" s="11"/>
      <c r="I561" s="11"/>
      <c r="J561" s="11"/>
    </row>
    <row r="562" spans="1:10" ht="15.75" x14ac:dyDescent="0.3">
      <c r="A562" s="12" t="str">
        <f>HYPERLINK("https://parts-sales.ru/parts/MAN/06112226516","06.11222-6516")</f>
        <v>06.11222-6516</v>
      </c>
      <c r="B562" s="12" t="str">
        <f>HYPERLINK("https://parts-sales.ru/parts/MAN/06112226516","6-гран. стопорн. наборн. гайка M20X2-SW2")</f>
        <v>6-гран. стопорн. наборн. гайка M20X2-SW2</v>
      </c>
      <c r="C562" s="3" t="s">
        <v>6</v>
      </c>
      <c r="D562" s="4">
        <v>246</v>
      </c>
      <c r="E562" s="4">
        <v>30</v>
      </c>
      <c r="F562" s="8">
        <v>0.88</v>
      </c>
      <c r="H562" s="11"/>
      <c r="I562" s="11"/>
      <c r="J562" s="11"/>
    </row>
    <row r="563" spans="1:10" ht="15.75" x14ac:dyDescent="0.3">
      <c r="A563" s="13" t="str">
        <f>HYPERLINK("https://parts-sales.ru/parts/MAN/06112268203","06.11226-8203")</f>
        <v>06.11226-8203</v>
      </c>
      <c r="B563" s="13" t="str">
        <f>HYPERLINK("https://parts-sales.ru/parts/MAN/06112268203","6-гран. гайка с буртиком M8-10-SW13-MAN1")</f>
        <v>6-гран. гайка с буртиком M8-10-SW13-MAN1</v>
      </c>
      <c r="C563" s="5" t="s">
        <v>6</v>
      </c>
      <c r="D563" s="6">
        <v>198</v>
      </c>
      <c r="E563" s="6">
        <v>39</v>
      </c>
      <c r="F563" s="9">
        <v>0.8</v>
      </c>
      <c r="H563" s="11"/>
      <c r="I563" s="11"/>
      <c r="J563" s="11"/>
    </row>
    <row r="564" spans="1:10" ht="15.75" x14ac:dyDescent="0.3">
      <c r="A564" s="12" t="str">
        <f>HYPERLINK("https://parts-sales.ru/parts/MAN/06112268206","06.11226-8206")</f>
        <v>06.11226-8206</v>
      </c>
      <c r="B564" s="12" t="str">
        <f>HYPERLINK("https://parts-sales.ru/parts/MAN/06112268206","6-гран. гайка с буртиком M12-10-MAN183-B")</f>
        <v>6-гран. гайка с буртиком M12-10-MAN183-B</v>
      </c>
      <c r="C564" s="3" t="s">
        <v>6</v>
      </c>
      <c r="D564" s="4">
        <v>211.2</v>
      </c>
      <c r="E564" s="4">
        <v>65</v>
      </c>
      <c r="F564" s="8">
        <v>0.69</v>
      </c>
      <c r="H564" s="11"/>
      <c r="I564" s="11"/>
      <c r="J564" s="11"/>
    </row>
    <row r="565" spans="1:10" ht="15.75" x14ac:dyDescent="0.3">
      <c r="A565" s="13" t="str">
        <f>HYPERLINK("https://parts-sales.ru/parts/MAN/06112290015","06.11229-0015")</f>
        <v>06.11229-0015</v>
      </c>
      <c r="B565" s="13" t="str">
        <f>HYPERLINK("https://parts-sales.ru/parts/MAN/06112290015","6-гран. стопорн. наборн. гайка M8-8-SW13")</f>
        <v>6-гран. стопорн. наборн. гайка M8-8-SW13</v>
      </c>
      <c r="C565" s="5" t="s">
        <v>6</v>
      </c>
      <c r="D565" s="6">
        <v>102</v>
      </c>
      <c r="E565" s="6">
        <v>47</v>
      </c>
      <c r="F565" s="9">
        <v>0.54</v>
      </c>
      <c r="H565" s="11"/>
      <c r="I565" s="11"/>
      <c r="J565" s="11"/>
    </row>
    <row r="566" spans="1:10" ht="15.75" x14ac:dyDescent="0.3">
      <c r="A566" s="12" t="str">
        <f>HYPERLINK("https://parts-sales.ru/parts/MAN/06112290032","06.11229-0032")</f>
        <v>06.11229-0032</v>
      </c>
      <c r="B566" s="12" t="str">
        <f>HYPERLINK("https://parts-sales.ru/parts/MAN/06112290032","6-гран. стопорн. наборн. гайка M8-8-SW13")</f>
        <v>6-гран. стопорн. наборн. гайка M8-8-SW13</v>
      </c>
      <c r="C566" s="3" t="s">
        <v>6</v>
      </c>
      <c r="D566" s="4">
        <v>250.8</v>
      </c>
      <c r="E566" s="4">
        <v>39</v>
      </c>
      <c r="F566" s="8">
        <v>0.84</v>
      </c>
      <c r="H566" s="11"/>
      <c r="I566" s="11"/>
      <c r="J566" s="11"/>
    </row>
    <row r="567" spans="1:10" ht="15.75" x14ac:dyDescent="0.3">
      <c r="A567" s="13" t="str">
        <f>HYPERLINK("https://parts-sales.ru/parts/MAN/06112290040","06.11229-0040")</f>
        <v>06.11229-0040</v>
      </c>
      <c r="B567" s="13" t="str">
        <f>HYPERLINK("https://parts-sales.ru/parts/MAN/06112290040","6-гран. стопорн. наборн. гайка M12X1,5-A")</f>
        <v>6-гран. стопорн. наборн. гайка M12X1,5-A</v>
      </c>
      <c r="C567" s="5" t="s">
        <v>6</v>
      </c>
      <c r="D567" s="6">
        <v>429.6</v>
      </c>
      <c r="E567" s="6">
        <v>14</v>
      </c>
      <c r="F567" s="9">
        <v>0.97</v>
      </c>
      <c r="H567" s="11"/>
      <c r="I567" s="11"/>
      <c r="J567" s="11"/>
    </row>
    <row r="568" spans="1:10" ht="15.75" x14ac:dyDescent="0.3">
      <c r="A568" s="12" t="str">
        <f>HYPERLINK("https://parts-sales.ru/parts/MAN/06112290045","06.11229-0045")</f>
        <v>06.11229-0045</v>
      </c>
      <c r="B568" s="12" t="str">
        <f>HYPERLINK("https://parts-sales.ru/parts/MAN/06112290045","6-гран. гайка с буртиком M6-A4-80-SW10")</f>
        <v>6-гран. гайка с буртиком M6-A4-80-SW10</v>
      </c>
      <c r="C568" s="3" t="s">
        <v>6</v>
      </c>
      <c r="D568" s="4">
        <v>258</v>
      </c>
      <c r="E568" s="4">
        <v>45</v>
      </c>
      <c r="F568" s="8">
        <v>0.83</v>
      </c>
      <c r="H568" s="11"/>
      <c r="I568" s="11"/>
      <c r="J568" s="11"/>
    </row>
    <row r="569" spans="1:10" ht="15.75" x14ac:dyDescent="0.3">
      <c r="A569" s="13" t="str">
        <f>HYPERLINK("https://parts-sales.ru/parts/MAN/06112400303","06.11240-0303")</f>
        <v>06.11240-0303</v>
      </c>
      <c r="B569" s="13" t="str">
        <f>HYPERLINK("https://parts-sales.ru/parts/MAN/06112400303","6-гранная стопорная гайка AM6-8-MAN183-B")</f>
        <v>6-гранная стопорная гайка AM6-8-MAN183-B</v>
      </c>
      <c r="C569" s="5" t="s">
        <v>6</v>
      </c>
      <c r="D569" s="6">
        <v>94.74</v>
      </c>
      <c r="E569" s="6">
        <v>13</v>
      </c>
      <c r="F569" s="9">
        <v>0.86</v>
      </c>
      <c r="H569" s="11"/>
      <c r="I569" s="11"/>
      <c r="J569" s="11"/>
    </row>
    <row r="570" spans="1:10" ht="15.75" x14ac:dyDescent="0.3">
      <c r="A570" s="12" t="str">
        <f>HYPERLINK("https://parts-sales.ru/parts/MAN/06112400311","06.11240-0311")</f>
        <v>06.11240-0311</v>
      </c>
      <c r="B570" s="12" t="str">
        <f>HYPERLINK("https://parts-sales.ru/parts/MAN/06112400311","6-гранная стопорная гайка AM12X1,5-8-MAN")</f>
        <v>6-гранная стопорная гайка AM12X1,5-8-MAN</v>
      </c>
      <c r="C570" s="3" t="s">
        <v>6</v>
      </c>
      <c r="D570" s="4">
        <v>190.8</v>
      </c>
      <c r="E570" s="4">
        <v>6</v>
      </c>
      <c r="F570" s="8">
        <v>0.97</v>
      </c>
      <c r="H570" s="11"/>
      <c r="I570" s="11"/>
      <c r="J570" s="11"/>
    </row>
    <row r="571" spans="1:10" ht="15.75" x14ac:dyDescent="0.3">
      <c r="A571" s="13" t="str">
        <f>HYPERLINK("https://parts-sales.ru/parts/MAN/06112400314","06.11240-0314")</f>
        <v>06.11240-0314</v>
      </c>
      <c r="B571" s="13" t="str">
        <f>HYPERLINK("https://parts-sales.ru/parts/MAN/06112400314","6-гранная стопорная гайка AM14X1,5-8-MAN")</f>
        <v>6-гранная стопорная гайка AM14X1,5-8-MAN</v>
      </c>
      <c r="C571" s="5" t="s">
        <v>6</v>
      </c>
      <c r="D571" s="6">
        <v>577.20000000000005</v>
      </c>
      <c r="E571" s="6">
        <v>18</v>
      </c>
      <c r="F571" s="9">
        <v>0.97</v>
      </c>
      <c r="H571" s="11"/>
      <c r="I571" s="11"/>
      <c r="J571" s="11"/>
    </row>
    <row r="572" spans="1:10" ht="15.75" x14ac:dyDescent="0.3">
      <c r="A572" s="12" t="str">
        <f>HYPERLINK("https://parts-sales.ru/parts/MAN/06112400317","06.11240-0317")</f>
        <v>06.11240-0317</v>
      </c>
      <c r="B572" s="12" t="str">
        <f>HYPERLINK("https://parts-sales.ru/parts/MAN/06112400317","6-гранная стопорная гайка AM16X1,5-8-MAN")</f>
        <v>6-гранная стопорная гайка AM16X1,5-8-MAN</v>
      </c>
      <c r="C572" s="3" t="s">
        <v>6</v>
      </c>
      <c r="D572" s="4">
        <v>744</v>
      </c>
      <c r="E572" s="4">
        <v>65</v>
      </c>
      <c r="F572" s="8">
        <v>0.91</v>
      </c>
      <c r="H572" s="11"/>
      <c r="I572" s="11"/>
      <c r="J572" s="11"/>
    </row>
    <row r="573" spans="1:10" ht="15.75" x14ac:dyDescent="0.3">
      <c r="A573" s="13" t="str">
        <f>HYPERLINK("https://parts-sales.ru/parts/MAN/06112400321","06.11240-0321")</f>
        <v>06.11240-0321</v>
      </c>
      <c r="B573" s="13" t="str">
        <f>HYPERLINK("https://parts-sales.ru/parts/MAN/06112400321","6-гранная стопорная гайка AM18X2-8-MAN18")</f>
        <v>6-гранная стопорная гайка AM18X2-8-MAN18</v>
      </c>
      <c r="C573" s="5" t="s">
        <v>6</v>
      </c>
      <c r="D573" s="6">
        <v>1272</v>
      </c>
      <c r="E573" s="6">
        <v>197</v>
      </c>
      <c r="F573" s="9">
        <v>0.85</v>
      </c>
      <c r="H573" s="11"/>
      <c r="I573" s="11"/>
      <c r="J573" s="11"/>
    </row>
    <row r="574" spans="1:10" ht="15.75" x14ac:dyDescent="0.3">
      <c r="A574" s="12" t="str">
        <f>HYPERLINK("https://parts-sales.ru/parts/MAN/06112400403","06.11240-0403")</f>
        <v>06.11240-0403</v>
      </c>
      <c r="B574" s="12" t="str">
        <f>HYPERLINK("https://parts-sales.ru/parts/MAN/06112400403","6-гранная стопорная гайка BM6-8-MAN183-B")</f>
        <v>6-гранная стопорная гайка BM6-8-MAN183-B</v>
      </c>
      <c r="C574" s="3" t="s">
        <v>6</v>
      </c>
      <c r="D574" s="4">
        <v>94.74</v>
      </c>
      <c r="E574" s="4">
        <v>48</v>
      </c>
      <c r="F574" s="8">
        <v>0.49</v>
      </c>
      <c r="H574" s="11"/>
      <c r="I574" s="11"/>
      <c r="J574" s="11"/>
    </row>
    <row r="575" spans="1:10" ht="15.75" x14ac:dyDescent="0.3">
      <c r="A575" s="13" t="str">
        <f>HYPERLINK("https://parts-sales.ru/parts/MAN/06112400406","06.11240-0406")</f>
        <v>06.11240-0406</v>
      </c>
      <c r="B575" s="13" t="str">
        <f>HYPERLINK("https://parts-sales.ru/parts/MAN/06112400406","6-гранная стопорная гайка BM10-8-MAN183-")</f>
        <v>6-гранная стопорная гайка BM10-8-MAN183-</v>
      </c>
      <c r="C575" s="5" t="s">
        <v>6</v>
      </c>
      <c r="D575" s="6">
        <v>74.400000000000006</v>
      </c>
      <c r="E575" s="6">
        <v>6</v>
      </c>
      <c r="F575" s="9">
        <v>0.92</v>
      </c>
      <c r="H575" s="11"/>
      <c r="I575" s="11"/>
      <c r="J575" s="11"/>
    </row>
    <row r="576" spans="1:10" ht="15.75" x14ac:dyDescent="0.3">
      <c r="A576" s="12" t="str">
        <f>HYPERLINK("https://parts-sales.ru/parts/MAN/06112400408","06.11240-0408")</f>
        <v>06.11240-0408</v>
      </c>
      <c r="B576" s="12" t="str">
        <f>HYPERLINK("https://parts-sales.ru/parts/MAN/06112400408","6-гранная стопорная гайка BM10X1,25-8-MA")</f>
        <v>6-гранная стопорная гайка BM10X1,25-8-MA</v>
      </c>
      <c r="C576" s="3" t="s">
        <v>6</v>
      </c>
      <c r="D576" s="4">
        <v>285.60000000000002</v>
      </c>
      <c r="E576" s="4">
        <v>74</v>
      </c>
      <c r="F576" s="8">
        <v>0.74</v>
      </c>
      <c r="H576" s="11"/>
      <c r="I576" s="11"/>
      <c r="J576" s="11"/>
    </row>
    <row r="577" spans="1:10" ht="15.75" x14ac:dyDescent="0.3">
      <c r="A577" s="13" t="str">
        <f>HYPERLINK("https://parts-sales.ru/parts/MAN/06112400411","06.11240-0411")</f>
        <v>06.11240-0411</v>
      </c>
      <c r="B577" s="13" t="str">
        <f>HYPERLINK("https://parts-sales.ru/parts/MAN/06112400411","6-гранная стопорная гайка BM12X1,5-8-MAN")</f>
        <v>6-гранная стопорная гайка BM12X1,5-8-MAN</v>
      </c>
      <c r="C577" s="5" t="s">
        <v>6</v>
      </c>
      <c r="D577" s="6">
        <v>440.4</v>
      </c>
      <c r="E577" s="6">
        <v>136</v>
      </c>
      <c r="F577" s="9">
        <v>0.69</v>
      </c>
      <c r="H577" s="11"/>
      <c r="I577" s="11"/>
      <c r="J577" s="11"/>
    </row>
    <row r="578" spans="1:10" ht="15.75" x14ac:dyDescent="0.3">
      <c r="A578" s="12" t="str">
        <f>HYPERLINK("https://parts-sales.ru/parts/MAN/06112400604","06.11240-0604")</f>
        <v>06.11240-0604</v>
      </c>
      <c r="B578" s="12" t="str">
        <f>HYPERLINK("https://parts-sales.ru/parts/MAN/06112400604","6-гранная стопорная гайка BM8-8-MAN183-B")</f>
        <v>6-гранная стопорная гайка BM8-8-MAN183-B</v>
      </c>
      <c r="C578" s="3" t="s">
        <v>6</v>
      </c>
      <c r="D578" s="4">
        <v>176.4</v>
      </c>
      <c r="E578" s="4">
        <v>1</v>
      </c>
      <c r="F578" s="8">
        <v>0.99</v>
      </c>
      <c r="H578" s="11"/>
      <c r="I578" s="11"/>
      <c r="J578" s="11"/>
    </row>
    <row r="579" spans="1:10" ht="15.75" x14ac:dyDescent="0.3">
      <c r="A579" s="13" t="str">
        <f>HYPERLINK("https://parts-sales.ru/parts/MAN/06112402130","06.11240-2130")</f>
        <v>06.11240-2130</v>
      </c>
      <c r="B579" s="13" t="str">
        <f>HYPERLINK("https://parts-sales.ru/parts/MAN/06112402130","6-гранная стопорная гайка AM24X2-8-A3C")</f>
        <v>6-гранная стопорная гайка AM24X2-8-A3C</v>
      </c>
      <c r="C579" s="5" t="s">
        <v>6</v>
      </c>
      <c r="D579" s="6">
        <v>1850.4</v>
      </c>
      <c r="E579" s="6">
        <v>102</v>
      </c>
      <c r="F579" s="9">
        <v>0.94</v>
      </c>
      <c r="H579" s="11"/>
      <c r="I579" s="11"/>
      <c r="J579" s="11"/>
    </row>
    <row r="580" spans="1:10" ht="15.75" x14ac:dyDescent="0.3">
      <c r="A580" s="12" t="str">
        <f>HYPERLINK("https://parts-sales.ru/parts/MAN/06112410130","06.11241-0130")</f>
        <v>06.11241-0130</v>
      </c>
      <c r="B580" s="12" t="str">
        <f>HYPERLINK("https://parts-sales.ru/parts/MAN/06112410130","6-гранная стопорная гайка AM24X2-10-A3C")</f>
        <v>6-гранная стопорная гайка AM24X2-10-A3C</v>
      </c>
      <c r="C580" s="3" t="s">
        <v>6</v>
      </c>
      <c r="D580" s="4">
        <v>255.6</v>
      </c>
      <c r="E580" s="4">
        <v>140</v>
      </c>
      <c r="F580" s="8">
        <v>0.45</v>
      </c>
      <c r="H580" s="11"/>
      <c r="I580" s="11"/>
      <c r="J580" s="11"/>
    </row>
    <row r="581" spans="1:10" ht="15.75" x14ac:dyDescent="0.3">
      <c r="A581" s="13" t="str">
        <f>HYPERLINK("https://parts-sales.ru/parts/MAN/06112410304","06.11241-0304")</f>
        <v>06.11241-0304</v>
      </c>
      <c r="B581" s="13" t="str">
        <f>HYPERLINK("https://parts-sales.ru/parts/MAN/06112410304","6-гранная стопорная гайка AM8-10-SW13-MA")</f>
        <v>6-гранная стопорная гайка AM8-10-SW13-MA</v>
      </c>
      <c r="C581" s="5" t="s">
        <v>6</v>
      </c>
      <c r="D581" s="6">
        <v>229.2</v>
      </c>
      <c r="E581" s="6">
        <v>41</v>
      </c>
      <c r="F581" s="9">
        <v>0.82</v>
      </c>
      <c r="H581" s="11"/>
      <c r="I581" s="11"/>
      <c r="J581" s="11"/>
    </row>
    <row r="582" spans="1:10" ht="15.75" x14ac:dyDescent="0.3">
      <c r="A582" s="12" t="str">
        <f>HYPERLINK("https://parts-sales.ru/parts/MAN/06112410306","06.11241-0306")</f>
        <v>06.11241-0306</v>
      </c>
      <c r="B582" s="12" t="str">
        <f>HYPERLINK("https://parts-sales.ru/parts/MAN/06112410306","6-гранная стопорная гайка AM10-10-MAN183")</f>
        <v>6-гранная стопорная гайка AM10-10-MAN183</v>
      </c>
      <c r="C582" s="3" t="s">
        <v>6</v>
      </c>
      <c r="D582" s="4">
        <v>326.39999999999998</v>
      </c>
      <c r="E582" s="4">
        <v>130</v>
      </c>
      <c r="F582" s="8">
        <v>0.6</v>
      </c>
      <c r="H582" s="11"/>
      <c r="I582" s="11"/>
      <c r="J582" s="11"/>
    </row>
    <row r="583" spans="1:10" ht="15.75" x14ac:dyDescent="0.3">
      <c r="A583" s="13" t="str">
        <f>HYPERLINK("https://parts-sales.ru/parts/MAN/06112410309","06.11241-0309")</f>
        <v>06.11241-0309</v>
      </c>
      <c r="B583" s="13" t="str">
        <f>HYPERLINK("https://parts-sales.ru/parts/MAN/06112410309","6-гранная стопорная гайка AM12-10-MAN183")</f>
        <v>6-гранная стопорная гайка AM12-10-MAN183</v>
      </c>
      <c r="C583" s="5" t="s">
        <v>6</v>
      </c>
      <c r="D583" s="6">
        <v>379.2</v>
      </c>
      <c r="E583" s="6">
        <v>90</v>
      </c>
      <c r="F583" s="9">
        <v>0.76</v>
      </c>
      <c r="H583" s="11"/>
      <c r="I583" s="11"/>
      <c r="J583" s="11"/>
    </row>
    <row r="584" spans="1:10" ht="15.75" x14ac:dyDescent="0.3">
      <c r="A584" s="12" t="str">
        <f>HYPERLINK("https://parts-sales.ru/parts/MAN/06112410311","06.11241-0311")</f>
        <v>06.11241-0311</v>
      </c>
      <c r="B584" s="12" t="str">
        <f>HYPERLINK("https://parts-sales.ru/parts/MAN/06112410311","6-гранная стопорная гайка AM12X1,5-10-MA")</f>
        <v>6-гранная стопорная гайка AM12X1,5-10-MA</v>
      </c>
      <c r="C584" s="3" t="s">
        <v>6</v>
      </c>
      <c r="D584" s="4">
        <v>830.4</v>
      </c>
      <c r="E584" s="4">
        <v>66</v>
      </c>
      <c r="F584" s="8">
        <v>0.92</v>
      </c>
      <c r="H584" s="11"/>
      <c r="I584" s="11"/>
      <c r="J584" s="11"/>
    </row>
    <row r="585" spans="1:10" ht="15.75" x14ac:dyDescent="0.3">
      <c r="A585" s="13" t="str">
        <f>HYPERLINK("https://parts-sales.ru/parts/MAN/06112410314","06.11241-0314")</f>
        <v>06.11241-0314</v>
      </c>
      <c r="B585" s="13" t="str">
        <f>HYPERLINK("https://parts-sales.ru/parts/MAN/06112410314","6-гранная стопорная гайка AM14X1,5-10-MA")</f>
        <v>6-гранная стопорная гайка AM14X1,5-10-MA</v>
      </c>
      <c r="C585" s="5" t="s">
        <v>6</v>
      </c>
      <c r="D585" s="6">
        <v>720</v>
      </c>
      <c r="E585" s="6">
        <v>28</v>
      </c>
      <c r="F585" s="9">
        <v>0.96</v>
      </c>
      <c r="H585" s="11"/>
      <c r="I585" s="11"/>
      <c r="J585" s="11"/>
    </row>
    <row r="586" spans="1:10" ht="15.75" x14ac:dyDescent="0.3">
      <c r="A586" s="12" t="str">
        <f>HYPERLINK("https://parts-sales.ru/parts/MAN/06112410317","06.11241-0317")</f>
        <v>06.11241-0317</v>
      </c>
      <c r="B586" s="12" t="str">
        <f>HYPERLINK("https://parts-sales.ru/parts/MAN/06112410317","6-гранная стопорная гайка AM16X1,5-10-MA")</f>
        <v>6-гранная стопорная гайка AM16X1,5-10-MA</v>
      </c>
      <c r="C586" s="3" t="s">
        <v>6</v>
      </c>
      <c r="D586" s="4">
        <v>698.4</v>
      </c>
      <c r="E586" s="4">
        <v>124</v>
      </c>
      <c r="F586" s="8">
        <v>0.82</v>
      </c>
      <c r="H586" s="11"/>
      <c r="I586" s="11"/>
      <c r="J586" s="11"/>
    </row>
    <row r="587" spans="1:10" ht="15.75" x14ac:dyDescent="0.3">
      <c r="A587" s="13" t="str">
        <f>HYPERLINK("https://parts-sales.ru/parts/MAN/06112512001","06.11251-2001")</f>
        <v>06.11251-2001</v>
      </c>
      <c r="B587" s="13" t="str">
        <f>HYPERLINK("https://parts-sales.ru/parts/MAN/06112512001","6-гранная стопорная гайка M10-10-MAN183-")</f>
        <v>6-гранная стопорная гайка M10-10-MAN183-</v>
      </c>
      <c r="C587" s="5" t="s">
        <v>6</v>
      </c>
      <c r="D587" s="6">
        <v>379.2</v>
      </c>
      <c r="E587" s="6">
        <v>151</v>
      </c>
      <c r="F587" s="9">
        <v>0.6</v>
      </c>
      <c r="H587" s="11"/>
      <c r="I587" s="11"/>
      <c r="J587" s="11"/>
    </row>
    <row r="588" spans="1:10" ht="15.75" x14ac:dyDescent="0.3">
      <c r="A588" s="12" t="str">
        <f>HYPERLINK("https://parts-sales.ru/parts/MAN/06112512003","06.11251-2003")</f>
        <v>06.11251-2003</v>
      </c>
      <c r="B588" s="12" t="str">
        <f>HYPERLINK("https://parts-sales.ru/parts/MAN/06112512003","6-гранная стопорная гайка M12X1,5-10-MAN")</f>
        <v>6-гранная стопорная гайка M12X1,5-10-MAN</v>
      </c>
      <c r="C588" s="3" t="s">
        <v>6</v>
      </c>
      <c r="D588" s="4">
        <v>367.2</v>
      </c>
      <c r="E588" s="4">
        <v>149</v>
      </c>
      <c r="F588" s="8">
        <v>0.59</v>
      </c>
      <c r="H588" s="11"/>
      <c r="I588" s="11"/>
      <c r="J588" s="11"/>
    </row>
    <row r="589" spans="1:10" ht="15.75" x14ac:dyDescent="0.3">
      <c r="A589" s="13" t="str">
        <f>HYPERLINK("https://parts-sales.ru/parts/MAN/06112512008","06.11251-2008")</f>
        <v>06.11251-2008</v>
      </c>
      <c r="B589" s="13" t="str">
        <f>HYPERLINK("https://parts-sales.ru/parts/MAN/06112512008","6-гранная стопорная гайка M16X1,5-10-MAN")</f>
        <v>6-гранная стопорная гайка M16X1,5-10-MAN</v>
      </c>
      <c r="C589" s="5" t="s">
        <v>6</v>
      </c>
      <c r="D589" s="6">
        <v>430.95</v>
      </c>
      <c r="E589" s="6">
        <v>287</v>
      </c>
      <c r="F589" s="9">
        <v>0.33</v>
      </c>
      <c r="H589" s="11"/>
      <c r="I589" s="11"/>
      <c r="J589" s="11"/>
    </row>
    <row r="590" spans="1:10" ht="15.75" x14ac:dyDescent="0.3">
      <c r="A590" s="12" t="str">
        <f>HYPERLINK("https://parts-sales.ru/parts/MAN/06112512011","06.11251-2011")</f>
        <v>06.11251-2011</v>
      </c>
      <c r="B590" s="12" t="str">
        <f>HYPERLINK("https://parts-sales.ru/parts/MAN/06112512011","6-гранная стопорная гайка M18X1,5-10-MAN")</f>
        <v>6-гранная стопорная гайка M18X1,5-10-MAN</v>
      </c>
      <c r="C590" s="3" t="s">
        <v>6</v>
      </c>
      <c r="D590" s="4">
        <v>528</v>
      </c>
      <c r="E590" s="4">
        <v>152</v>
      </c>
      <c r="F590" s="8">
        <v>0.71</v>
      </c>
      <c r="H590" s="11"/>
      <c r="I590" s="11"/>
      <c r="J590" s="11"/>
    </row>
    <row r="591" spans="1:10" ht="15.75" x14ac:dyDescent="0.3">
      <c r="A591" s="13" t="str">
        <f>HYPERLINK("https://parts-sales.ru/parts/MAN/06112512018","06.11251-2018")</f>
        <v>06.11251-2018</v>
      </c>
      <c r="B591" s="13" t="str">
        <f>HYPERLINK("https://parts-sales.ru/parts/MAN/06112512018","6-гранная стопорная гайка M8-10-MAN183-B")</f>
        <v>6-гранная стопорная гайка M8-10-MAN183-B</v>
      </c>
      <c r="C591" s="5" t="s">
        <v>6</v>
      </c>
      <c r="D591" s="6">
        <v>266.39999999999998</v>
      </c>
      <c r="E591" s="6">
        <v>117</v>
      </c>
      <c r="F591" s="9">
        <v>0.56000000000000005</v>
      </c>
      <c r="H591" s="11"/>
      <c r="I591" s="11"/>
      <c r="J591" s="11"/>
    </row>
    <row r="592" spans="1:10" ht="15.75" x14ac:dyDescent="0.3">
      <c r="A592" s="12" t="str">
        <f>HYPERLINK("https://parts-sales.ru/parts/MAN/06112590001","06.11259-0001")</f>
        <v>06.11259-0001</v>
      </c>
      <c r="B592" s="12" t="str">
        <f>HYPERLINK("https://parts-sales.ru/parts/MAN/06112590001","6-гранная стопорная гайка M18X2-12-MAN18")</f>
        <v>6-гранная стопорная гайка M18X2-12-MAN18</v>
      </c>
      <c r="C592" s="3" t="s">
        <v>6</v>
      </c>
      <c r="D592" s="4">
        <v>386.4</v>
      </c>
      <c r="E592" s="4">
        <v>46</v>
      </c>
      <c r="F592" s="8">
        <v>0.88</v>
      </c>
      <c r="H592" s="11"/>
      <c r="I592" s="11"/>
      <c r="J592" s="11"/>
    </row>
    <row r="593" spans="1:10" ht="15.75" x14ac:dyDescent="0.3">
      <c r="A593" s="13" t="str">
        <f>HYPERLINK("https://parts-sales.ru/parts/MAN/06112716211","06.11271-6211")</f>
        <v>06.11271-6211</v>
      </c>
      <c r="B593" s="13" t="str">
        <f>HYPERLINK("https://parts-sales.ru/parts/MAN/06112716211","Шестигранная гайка BM10-04-MAN183-B1")</f>
        <v>Шестигранная гайка BM10-04-MAN183-B1</v>
      </c>
      <c r="C593" s="5" t="s">
        <v>6</v>
      </c>
      <c r="D593" s="6">
        <v>202.8</v>
      </c>
      <c r="E593" s="6">
        <v>42</v>
      </c>
      <c r="F593" s="9">
        <v>0.79</v>
      </c>
      <c r="H593" s="11"/>
      <c r="I593" s="11"/>
      <c r="J593" s="11"/>
    </row>
    <row r="594" spans="1:10" ht="15.75" x14ac:dyDescent="0.3">
      <c r="A594" s="12" t="str">
        <f>HYPERLINK("https://parts-sales.ru/parts/MAN/06120340207","06.12034-0207")</f>
        <v>06.12034-0207</v>
      </c>
      <c r="B594" s="12" t="str">
        <f>HYPERLINK("https://parts-sales.ru/parts/MAN/06120340207","Шестигранная глухая гайка M14X1,5-6-SW22")</f>
        <v>Шестигранная глухая гайка M14X1,5-6-SW22</v>
      </c>
      <c r="C594" s="3" t="s">
        <v>6</v>
      </c>
      <c r="D594" s="4">
        <v>367.2</v>
      </c>
      <c r="E594" s="4">
        <v>81</v>
      </c>
      <c r="F594" s="8">
        <v>0.78</v>
      </c>
      <c r="H594" s="11"/>
      <c r="I594" s="11"/>
      <c r="J594" s="11"/>
    </row>
    <row r="595" spans="1:10" ht="15.75" x14ac:dyDescent="0.3">
      <c r="A595" s="13" t="str">
        <f>HYPERLINK("https://parts-sales.ru/parts/MAN/06120790007","06.12079-0007")</f>
        <v>06.12079-0007</v>
      </c>
      <c r="B595" s="13" t="str">
        <f>HYPERLINK("https://parts-sales.ru/parts/MAN/06120790007","6-гран. стопор. колп. гайка M6-6-MAN183-")</f>
        <v>6-гран. стопор. колп. гайка M6-6-MAN183-</v>
      </c>
      <c r="C595" s="5" t="s">
        <v>6</v>
      </c>
      <c r="D595" s="6">
        <v>134.4</v>
      </c>
      <c r="E595" s="6">
        <v>29</v>
      </c>
      <c r="F595" s="9">
        <v>0.78</v>
      </c>
      <c r="H595" s="11"/>
      <c r="I595" s="11"/>
      <c r="J595" s="11"/>
    </row>
    <row r="596" spans="1:10" ht="15.75" x14ac:dyDescent="0.3">
      <c r="A596" s="12" t="str">
        <f>HYPERLINK("https://parts-sales.ru/parts/MAN/06121140122","06.12114-0122")</f>
        <v>06.12114-0122</v>
      </c>
      <c r="B596" s="12" t="str">
        <f>HYPERLINK("https://parts-sales.ru/parts/MAN/06121140122","Шлицевая гайка M60X1,5-6")</f>
        <v>Шлицевая гайка M60X1,5-6</v>
      </c>
      <c r="C596" s="3" t="s">
        <v>6</v>
      </c>
      <c r="D596" s="4">
        <v>2631.6</v>
      </c>
      <c r="E596" s="4">
        <v>616</v>
      </c>
      <c r="F596" s="8">
        <v>0.77</v>
      </c>
      <c r="H596" s="11"/>
      <c r="I596" s="11"/>
      <c r="J596" s="11"/>
    </row>
    <row r="597" spans="1:10" ht="15.75" x14ac:dyDescent="0.3">
      <c r="A597" s="13" t="str">
        <f>HYPERLINK("https://parts-sales.ru/parts/MAN/06131690010","06.13169-0010")</f>
        <v>06.13169-0010</v>
      </c>
      <c r="B597" s="13" t="str">
        <f>HYPERLINK("https://parts-sales.ru/parts/MAN/06131690010","Глухая заклепочная гайка AM6X21,8-ST/PUR")</f>
        <v>Глухая заклепочная гайка AM6X21,8-ST/PUR</v>
      </c>
      <c r="C597" s="5" t="s">
        <v>6</v>
      </c>
      <c r="D597" s="6">
        <v>115.68</v>
      </c>
      <c r="E597" s="6">
        <v>76</v>
      </c>
      <c r="F597" s="9">
        <v>0.34</v>
      </c>
      <c r="H597" s="11"/>
      <c r="I597" s="11"/>
      <c r="J597" s="11"/>
    </row>
    <row r="598" spans="1:10" ht="15.75" x14ac:dyDescent="0.3">
      <c r="A598" s="12" t="str">
        <f>HYPERLINK("https://parts-sales.ru/parts/MAN/06131690027","06.13169-0027")</f>
        <v>06.13169-0027</v>
      </c>
      <c r="B598" s="12" t="str">
        <f>HYPERLINK("https://parts-sales.ru/parts/MAN/06131690027","Глухая заклепочная гайка AM4X11,4-CR60/C")</f>
        <v>Глухая заклепочная гайка AM4X11,4-CR60/C</v>
      </c>
      <c r="C598" s="3" t="s">
        <v>6</v>
      </c>
      <c r="D598" s="4">
        <v>510</v>
      </c>
      <c r="E598" s="4">
        <v>121</v>
      </c>
      <c r="F598" s="8">
        <v>0.76</v>
      </c>
      <c r="H598" s="11"/>
      <c r="I598" s="11"/>
      <c r="J598" s="11"/>
    </row>
    <row r="599" spans="1:10" ht="15.75" x14ac:dyDescent="0.3">
      <c r="A599" s="13" t="str">
        <f>HYPERLINK("https://parts-sales.ru/parts/MAN/06131690031","06.13169-0031")</f>
        <v>06.13169-0031</v>
      </c>
      <c r="B599" s="13" t="str">
        <f>HYPERLINK("https://parts-sales.ru/parts/MAN/06131690031","Глухая заклепочная гайка AM6X19,3-TPE-CU")</f>
        <v>Глухая заклепочная гайка AM6X19,3-TPE-CU</v>
      </c>
      <c r="C599" s="5" t="s">
        <v>6</v>
      </c>
      <c r="D599" s="6">
        <v>894</v>
      </c>
      <c r="E599" s="6">
        <v>281</v>
      </c>
      <c r="F599" s="9">
        <v>0.69</v>
      </c>
      <c r="H599" s="11"/>
      <c r="I599" s="11"/>
      <c r="J599" s="11"/>
    </row>
    <row r="600" spans="1:10" ht="15.75" x14ac:dyDescent="0.3">
      <c r="A600" s="12" t="str">
        <f>HYPERLINK("https://parts-sales.ru/parts/MAN/06131690038","06.13169-0038")</f>
        <v>06.13169-0038</v>
      </c>
      <c r="B600" s="12" t="str">
        <f>HYPERLINK("https://parts-sales.ru/parts/MAN/06131690038","Глухая заклепочная гайка AM10X17,5-ST-SN")</f>
        <v>Глухая заклепочная гайка AM10X17,5-ST-SN</v>
      </c>
      <c r="C600" s="3" t="s">
        <v>6</v>
      </c>
      <c r="D600" s="4">
        <v>510</v>
      </c>
      <c r="E600" s="4">
        <v>89</v>
      </c>
      <c r="F600" s="8">
        <v>0.83</v>
      </c>
      <c r="H600" s="11"/>
      <c r="I600" s="11"/>
      <c r="J600" s="11"/>
    </row>
    <row r="601" spans="1:10" ht="15.75" x14ac:dyDescent="0.3">
      <c r="A601" s="13" t="str">
        <f>HYPERLINK("https://parts-sales.ru/parts/MAN/06131690039","06.13169-0039")</f>
        <v>06.13169-0039</v>
      </c>
      <c r="B601" s="13" t="str">
        <f>HYPERLINK("https://parts-sales.ru/parts/MAN/06131690039","Глухая заклепочная гайка AM6X14,7-ST-SNZ")</f>
        <v>Глухая заклепочная гайка AM6X14,7-ST-SNZ</v>
      </c>
      <c r="C601" s="5" t="s">
        <v>6</v>
      </c>
      <c r="D601" s="6">
        <v>338.4</v>
      </c>
      <c r="E601" s="6">
        <v>61</v>
      </c>
      <c r="F601" s="9">
        <v>0.82</v>
      </c>
      <c r="H601" s="11"/>
      <c r="I601" s="11"/>
      <c r="J601" s="11"/>
    </row>
    <row r="602" spans="1:10" ht="15.75" x14ac:dyDescent="0.3">
      <c r="A602" s="12" t="str">
        <f>HYPERLINK("https://parts-sales.ru/parts/MAN/06131690063","06.13169-0063")</f>
        <v>06.13169-0063</v>
      </c>
      <c r="B602" s="12" t="str">
        <f>HYPERLINK("https://parts-sales.ru/parts/MAN/06131690063","Глухая заклепочная гайка M4X11,94-ST-SNZ")</f>
        <v>Глухая заклепочная гайка M4X11,94-ST-SNZ</v>
      </c>
      <c r="C602" s="3" t="s">
        <v>6</v>
      </c>
      <c r="D602" s="4">
        <v>277.2</v>
      </c>
      <c r="E602" s="4">
        <v>65</v>
      </c>
      <c r="F602" s="8">
        <v>0.77</v>
      </c>
      <c r="H602" s="11"/>
      <c r="I602" s="11"/>
      <c r="J602" s="11"/>
    </row>
    <row r="603" spans="1:10" ht="15.75" x14ac:dyDescent="0.3">
      <c r="A603" s="13" t="str">
        <f>HYPERLINK("https://parts-sales.ru/parts/MAN/06131790009","06.13179-0009")</f>
        <v>06.13179-0009</v>
      </c>
      <c r="B603" s="13" t="str">
        <f>HYPERLINK("https://parts-sales.ru/parts/MAN/06131790009","Гайка с фланцем M8")</f>
        <v>Гайка с фланцем M8</v>
      </c>
      <c r="C603" s="5" t="s">
        <v>6</v>
      </c>
      <c r="D603" s="6">
        <v>472.8</v>
      </c>
      <c r="E603" s="6">
        <v>89</v>
      </c>
      <c r="F603" s="9">
        <v>0.81</v>
      </c>
      <c r="H603" s="11"/>
      <c r="I603" s="11"/>
      <c r="J603" s="11"/>
    </row>
    <row r="604" spans="1:10" ht="15.75" x14ac:dyDescent="0.3">
      <c r="A604" s="12" t="str">
        <f>HYPERLINK("https://parts-sales.ru/parts/MAN/06131890009","06.13189-0009")</f>
        <v>06.13189-0009</v>
      </c>
      <c r="B604" s="12" t="str">
        <f>HYPERLINK("https://parts-sales.ru/parts/MAN/06131890009","Стопорная шайба 4-9,6-C67-A2C")</f>
        <v>Стопорная шайба 4-9,6-C67-A2C</v>
      </c>
      <c r="C604" s="3" t="s">
        <v>6</v>
      </c>
      <c r="D604" s="4">
        <v>218.4</v>
      </c>
      <c r="E604" s="4">
        <v>36</v>
      </c>
      <c r="F604" s="8">
        <v>0.84</v>
      </c>
      <c r="H604" s="11"/>
      <c r="I604" s="11"/>
      <c r="J604" s="11"/>
    </row>
    <row r="605" spans="1:10" ht="15.75" x14ac:dyDescent="0.3">
      <c r="A605" s="13" t="str">
        <f>HYPERLINK("https://parts-sales.ru/parts/MAN/06131890035","06.13189-0035")</f>
        <v>06.13189-0035</v>
      </c>
      <c r="B605" s="13" t="str">
        <f>HYPERLINK("https://parts-sales.ru/parts/MAN/06131890035","Насадная клеточная гайка M8-19,5X27X1,5")</f>
        <v>Насадная клеточная гайка M8-19,5X27X1,5</v>
      </c>
      <c r="C605" s="5" t="s">
        <v>6</v>
      </c>
      <c r="D605" s="6">
        <v>548.4</v>
      </c>
      <c r="E605" s="6">
        <v>27</v>
      </c>
      <c r="F605" s="9">
        <v>0.95</v>
      </c>
      <c r="H605" s="11"/>
      <c r="I605" s="11"/>
      <c r="J605" s="11"/>
    </row>
    <row r="606" spans="1:10" ht="15.75" x14ac:dyDescent="0.3">
      <c r="A606" s="12" t="str">
        <f>HYPERLINK("https://parts-sales.ru/parts/MAN/06131890099","06.13189-0099")</f>
        <v>06.13189-0099</v>
      </c>
      <c r="B606" s="12" t="str">
        <f>HYPERLINK("https://parts-sales.ru/parts/MAN/06131890099","Гайка с защелкой ST4,8-2-MAN183-B1")</f>
        <v>Гайка с защелкой ST4,8-2-MAN183-B1</v>
      </c>
      <c r="C606" s="3" t="s">
        <v>6</v>
      </c>
      <c r="D606" s="4">
        <v>129.6</v>
      </c>
      <c r="E606" s="4">
        <v>43</v>
      </c>
      <c r="F606" s="8">
        <v>0.67</v>
      </c>
      <c r="H606" s="11"/>
      <c r="I606" s="11"/>
      <c r="J606" s="11"/>
    </row>
    <row r="607" spans="1:10" ht="15.75" x14ac:dyDescent="0.3">
      <c r="A607" s="13" t="str">
        <f>HYPERLINK("https://parts-sales.ru/parts/MAN/06131890101","06.13189-0101")</f>
        <v>06.13189-0101</v>
      </c>
      <c r="B607" s="13" t="str">
        <f>HYPERLINK("https://parts-sales.ru/parts/MAN/06131890101","Гайка с защелкой ST4,2-6-MAN183-B1")</f>
        <v>Гайка с защелкой ST4,2-6-MAN183-B1</v>
      </c>
      <c r="C607" s="5" t="s">
        <v>6</v>
      </c>
      <c r="D607" s="6">
        <v>252</v>
      </c>
      <c r="E607" s="6">
        <v>91</v>
      </c>
      <c r="F607" s="9">
        <v>0.64</v>
      </c>
      <c r="H607" s="11"/>
      <c r="I607" s="11"/>
      <c r="J607" s="11"/>
    </row>
    <row r="608" spans="1:10" ht="15.75" x14ac:dyDescent="0.3">
      <c r="A608" s="12" t="str">
        <f>HYPERLINK("https://parts-sales.ru/parts/MAN/06131890108","06.13189-0108")</f>
        <v>06.13189-0108</v>
      </c>
      <c r="B608" s="12" t="str">
        <f>HYPERLINK("https://parts-sales.ru/parts/MAN/06131890108","Гайка с защелкой ST4,8-5-MAN183-B1")</f>
        <v>Гайка с защелкой ST4,8-5-MAN183-B1</v>
      </c>
      <c r="C608" s="3" t="s">
        <v>6</v>
      </c>
      <c r="D608" s="4">
        <v>213.6</v>
      </c>
      <c r="E608" s="4">
        <v>134</v>
      </c>
      <c r="F608" s="8">
        <v>0.37</v>
      </c>
      <c r="H608" s="11"/>
      <c r="I608" s="11"/>
      <c r="J608" s="11"/>
    </row>
    <row r="609" spans="1:10" ht="15.75" x14ac:dyDescent="0.3">
      <c r="A609" s="13" t="str">
        <f>HYPERLINK("https://parts-sales.ru/parts/MAN/06131890111","06.13189-0111")</f>
        <v>06.13189-0111</v>
      </c>
      <c r="B609" s="13" t="str">
        <f>HYPERLINK("https://parts-sales.ru/parts/MAN/06131890111","Пружинящая гайка 5-30-CK67-A3R")</f>
        <v>Пружинящая гайка 5-30-CK67-A3R</v>
      </c>
      <c r="C609" s="5" t="s">
        <v>6</v>
      </c>
      <c r="D609" s="6">
        <v>379.2</v>
      </c>
      <c r="E609" s="6">
        <v>32</v>
      </c>
      <c r="F609" s="9">
        <v>0.92</v>
      </c>
      <c r="H609" s="11"/>
      <c r="I609" s="11"/>
      <c r="J609" s="11"/>
    </row>
    <row r="610" spans="1:10" ht="15.75" x14ac:dyDescent="0.3">
      <c r="A610" s="12" t="str">
        <f>HYPERLINK("https://parts-sales.ru/parts/MAN/06131890112","06.13189-0112")</f>
        <v>06.13189-0112</v>
      </c>
      <c r="B610" s="12" t="str">
        <f>HYPERLINK("https://parts-sales.ru/parts/MAN/06131890112","Гайка с защелкой ST4,2-2-MAN183-B1")</f>
        <v>Гайка с защелкой ST4,2-2-MAN183-B1</v>
      </c>
      <c r="C610" s="3" t="s">
        <v>6</v>
      </c>
      <c r="D610" s="4">
        <v>330</v>
      </c>
      <c r="E610" s="4">
        <v>58</v>
      </c>
      <c r="F610" s="8">
        <v>0.82</v>
      </c>
      <c r="H610" s="11"/>
      <c r="I610" s="11"/>
      <c r="J610" s="11"/>
    </row>
    <row r="611" spans="1:10" ht="15.75" x14ac:dyDescent="0.3">
      <c r="A611" s="13" t="str">
        <f>HYPERLINK("https://parts-sales.ru/parts/MAN/06131890114","06.13189-0114")</f>
        <v>06.13189-0114</v>
      </c>
      <c r="B611" s="13" t="str">
        <f>HYPERLINK("https://parts-sales.ru/parts/MAN/06131890114","Стопорная шайба 5-12-X12CRNI177")</f>
        <v>Стопорная шайба 5-12-X12CRNI177</v>
      </c>
      <c r="C611" s="5" t="s">
        <v>6</v>
      </c>
      <c r="D611" s="6">
        <v>211.2</v>
      </c>
      <c r="E611" s="6">
        <v>3</v>
      </c>
      <c r="F611" s="9">
        <v>0.99</v>
      </c>
      <c r="H611" s="11"/>
      <c r="I611" s="11"/>
      <c r="J611" s="11"/>
    </row>
    <row r="612" spans="1:10" ht="15.75" x14ac:dyDescent="0.3">
      <c r="A612" s="12" t="str">
        <f>HYPERLINK("https://parts-sales.ru/parts/MAN/06131890118","06.13189-0118")</f>
        <v>06.13189-0118</v>
      </c>
      <c r="B612" s="12" t="str">
        <f>HYPERLINK("https://parts-sales.ru/parts/MAN/06131890118","Гайка с защелкой ST4,8-11X15X2-C67-A2A")</f>
        <v>Гайка с защелкой ST4,8-11X15X2-C67-A2A</v>
      </c>
      <c r="C612" s="3" t="s">
        <v>6</v>
      </c>
      <c r="D612" s="4">
        <v>253.2</v>
      </c>
      <c r="E612" s="4">
        <v>50</v>
      </c>
      <c r="F612" s="8">
        <v>0.8</v>
      </c>
      <c r="H612" s="11"/>
      <c r="I612" s="11"/>
      <c r="J612" s="11"/>
    </row>
    <row r="613" spans="1:10" ht="15.75" x14ac:dyDescent="0.3">
      <c r="A613" s="13" t="str">
        <f>HYPERLINK("https://parts-sales.ru/parts/MAN/06131890123","06.13189-0123")</f>
        <v>06.13189-0123</v>
      </c>
      <c r="B613" s="13" t="str">
        <f>HYPERLINK("https://parts-sales.ru/parts/MAN/06131890123","Гайка с защелкой ST4,2-10X12X7-C67")</f>
        <v>Гайка с защелкой ST4,2-10X12X7-C67</v>
      </c>
      <c r="C613" s="5" t="s">
        <v>6</v>
      </c>
      <c r="D613" s="6">
        <v>114</v>
      </c>
      <c r="E613" s="6">
        <v>25</v>
      </c>
      <c r="F613" s="9">
        <v>0.78</v>
      </c>
      <c r="H613" s="11"/>
      <c r="I613" s="11"/>
      <c r="J613" s="11"/>
    </row>
    <row r="614" spans="1:10" ht="15.75" x14ac:dyDescent="0.3">
      <c r="A614" s="12" t="str">
        <f>HYPERLINK("https://parts-sales.ru/parts/MAN/06131890132","06.13189-0132")</f>
        <v>06.13189-0132</v>
      </c>
      <c r="B614" s="12" t="str">
        <f>HYPERLINK("https://parts-sales.ru/parts/MAN/06131890132","Насадная клеточная гайка BM6-MAN183-B1")</f>
        <v>Насадная клеточная гайка BM6-MAN183-B1</v>
      </c>
      <c r="C614" s="3" t="s">
        <v>6</v>
      </c>
      <c r="D614" s="4">
        <v>277.2</v>
      </c>
      <c r="E614" s="4">
        <v>84</v>
      </c>
      <c r="F614" s="8">
        <v>0.7</v>
      </c>
      <c r="H614" s="11"/>
      <c r="I614" s="11"/>
      <c r="J614" s="11"/>
    </row>
    <row r="615" spans="1:10" ht="15.75" x14ac:dyDescent="0.3">
      <c r="A615" s="13" t="str">
        <f>HYPERLINK("https://parts-sales.ru/parts/MAN/06131890135","06.13189-0135")</f>
        <v>06.13189-0135</v>
      </c>
      <c r="B615" s="13" t="str">
        <f>HYPERLINK("https://parts-sales.ru/parts/MAN/06131890135","Гайка с защелкой ST3,9-2-MAN183-B1")</f>
        <v>Гайка с защелкой ST3,9-2-MAN183-B1</v>
      </c>
      <c r="C615" s="5" t="s">
        <v>6</v>
      </c>
      <c r="D615" s="6">
        <v>220.8</v>
      </c>
      <c r="E615" s="6">
        <v>108</v>
      </c>
      <c r="F615" s="9">
        <v>0.51</v>
      </c>
      <c r="H615" s="11"/>
      <c r="I615" s="11"/>
      <c r="J615" s="11"/>
    </row>
    <row r="616" spans="1:10" ht="15.75" x14ac:dyDescent="0.3">
      <c r="A616" s="12" t="str">
        <f>HYPERLINK("https://parts-sales.ru/parts/MAN/06131890142","06.13189-0142")</f>
        <v>06.13189-0142</v>
      </c>
      <c r="B616" s="12" t="str">
        <f>HYPERLINK("https://parts-sales.ru/parts/MAN/06131890142","Насадная клеточная гайка M6-14X26,1X1-2")</f>
        <v>Насадная клеточная гайка M6-14X26,1X1-2</v>
      </c>
      <c r="C616" s="3" t="s">
        <v>6</v>
      </c>
      <c r="D616" s="4">
        <v>277.2</v>
      </c>
      <c r="E616" s="4">
        <v>68</v>
      </c>
      <c r="F616" s="8">
        <v>0.75</v>
      </c>
      <c r="H616" s="11"/>
      <c r="I616" s="11"/>
      <c r="J616" s="11"/>
    </row>
    <row r="617" spans="1:10" ht="15.75" x14ac:dyDescent="0.3">
      <c r="A617" s="13" t="str">
        <f>HYPERLINK("https://parts-sales.ru/parts/MAN/06131890158","06.13189-0158")</f>
        <v>06.13189-0158</v>
      </c>
      <c r="B617" s="13" t="str">
        <f>HYPERLINK("https://parts-sales.ru/parts/MAN/06131890158","Насадная клеточная гайка M6-24,5X16X1,5-")</f>
        <v>Насадная клеточная гайка M6-24,5X16X1,5-</v>
      </c>
      <c r="C617" s="5" t="s">
        <v>6</v>
      </c>
      <c r="D617" s="6">
        <v>277.2</v>
      </c>
      <c r="E617" s="6">
        <v>65</v>
      </c>
      <c r="F617" s="9">
        <v>0.77</v>
      </c>
      <c r="H617" s="11"/>
      <c r="I617" s="11"/>
      <c r="J617" s="11"/>
    </row>
    <row r="618" spans="1:10" ht="15.75" x14ac:dyDescent="0.3">
      <c r="A618" s="12" t="str">
        <f>HYPERLINK("https://parts-sales.ru/parts/MAN/06131890177","06.13189-0177")</f>
        <v>06.13189-0177</v>
      </c>
      <c r="B618" s="12" t="str">
        <f>HYPERLINK("https://parts-sales.ru/parts/MAN/06131890177","Гайка с защелкой ST4,2")</f>
        <v>Гайка с защелкой ST4,2</v>
      </c>
      <c r="C618" s="3" t="s">
        <v>6</v>
      </c>
      <c r="D618" s="4">
        <v>266.39999999999998</v>
      </c>
      <c r="E618" s="4">
        <v>57</v>
      </c>
      <c r="F618" s="8">
        <v>0.79</v>
      </c>
      <c r="H618" s="11"/>
      <c r="I618" s="11"/>
      <c r="J618" s="11"/>
    </row>
    <row r="619" spans="1:10" ht="15.75" x14ac:dyDescent="0.3">
      <c r="A619" s="13" t="str">
        <f>HYPERLINK("https://parts-sales.ru/parts/MAN/06150130407","06.15013-0407")</f>
        <v>06.15013-0407</v>
      </c>
      <c r="B619" s="13" t="str">
        <f>HYPERLINK("https://parts-sales.ru/parts/MAN/06150130407","Шайба 4X9X0,8-200HV-MAN183-B1")</f>
        <v>Шайба 4X9X0,8-200HV-MAN183-B1</v>
      </c>
      <c r="C619" s="5" t="s">
        <v>6</v>
      </c>
      <c r="D619" s="6">
        <v>109.2</v>
      </c>
      <c r="E619" s="6">
        <v>1</v>
      </c>
      <c r="F619" s="9">
        <v>0.99</v>
      </c>
      <c r="H619" s="11"/>
      <c r="I619" s="11"/>
      <c r="J619" s="11"/>
    </row>
    <row r="620" spans="1:10" ht="15.75" x14ac:dyDescent="0.3">
      <c r="A620" s="12" t="str">
        <f>HYPERLINK("https://parts-sales.ru/parts/MAN/06150130408","06.15013-0408")</f>
        <v>06.15013-0408</v>
      </c>
      <c r="B620" s="12" t="str">
        <f>HYPERLINK("https://parts-sales.ru/parts/MAN/06150130408","Шайба 5X10X1-200HV-MAN183-B1")</f>
        <v>Шайба 5X10X1-200HV-MAN183-B1</v>
      </c>
      <c r="C620" s="3" t="s">
        <v>6</v>
      </c>
      <c r="D620" s="4">
        <v>94.8</v>
      </c>
      <c r="E620" s="4">
        <v>2</v>
      </c>
      <c r="F620" s="8">
        <v>0.98</v>
      </c>
      <c r="H620" s="11"/>
      <c r="I620" s="11"/>
      <c r="J620" s="11"/>
    </row>
    <row r="621" spans="1:10" ht="15.75" x14ac:dyDescent="0.3">
      <c r="A621" s="13" t="str">
        <f>HYPERLINK("https://parts-sales.ru/parts/MAN/06150130409","06.15013-0409")</f>
        <v>06.15013-0409</v>
      </c>
      <c r="B621" s="13" t="str">
        <f>HYPERLINK("https://parts-sales.ru/parts/MAN/06150130409","Шайба 6X12X1,6-200HV-MAN183-B1")</f>
        <v>Шайба 6X12X1,6-200HV-MAN183-B1</v>
      </c>
      <c r="C621" s="5" t="s">
        <v>6</v>
      </c>
      <c r="D621" s="6">
        <v>26.84</v>
      </c>
      <c r="E621" s="6">
        <v>4</v>
      </c>
      <c r="F621" s="9">
        <v>0.85</v>
      </c>
      <c r="H621" s="11"/>
      <c r="I621" s="11"/>
      <c r="J621" s="11"/>
    </row>
    <row r="622" spans="1:10" ht="15.75" x14ac:dyDescent="0.3">
      <c r="A622" s="12" t="str">
        <f>HYPERLINK("https://parts-sales.ru/parts/MAN/06150130412","06.15013-0412")</f>
        <v>06.15013-0412</v>
      </c>
      <c r="B622" s="12" t="str">
        <f>HYPERLINK("https://parts-sales.ru/parts/MAN/06150130412","Шайба 10X20X2-200HV-MAN183-B1")</f>
        <v>Шайба 10X20X2-200HV-MAN183-B1</v>
      </c>
      <c r="C622" s="3" t="s">
        <v>6</v>
      </c>
      <c r="D622" s="4">
        <v>34.799999999999997</v>
      </c>
      <c r="E622" s="4">
        <v>10</v>
      </c>
      <c r="F622" s="8">
        <v>0.71</v>
      </c>
      <c r="H622" s="11"/>
      <c r="I622" s="11"/>
      <c r="J622" s="11"/>
    </row>
    <row r="623" spans="1:10" ht="15.75" x14ac:dyDescent="0.3">
      <c r="A623" s="13" t="str">
        <f>HYPERLINK("https://parts-sales.ru/parts/MAN/06150130416","06.15013-0416")</f>
        <v>06.15013-0416</v>
      </c>
      <c r="B623" s="13" t="str">
        <f>HYPERLINK("https://parts-sales.ru/parts/MAN/06150130416","Шайба 16X30X3-200HV-MAN183-B1")</f>
        <v>Шайба 16X30X3-200HV-MAN183-B1</v>
      </c>
      <c r="C623" s="5" t="s">
        <v>6</v>
      </c>
      <c r="D623" s="6">
        <v>894</v>
      </c>
      <c r="E623" s="6">
        <v>11</v>
      </c>
      <c r="F623" s="9">
        <v>0.99</v>
      </c>
      <c r="H623" s="11"/>
      <c r="I623" s="11"/>
      <c r="J623" s="11"/>
    </row>
    <row r="624" spans="1:10" ht="15.75" x14ac:dyDescent="0.3">
      <c r="A624" s="12" t="str">
        <f>HYPERLINK("https://parts-sales.ru/parts/MAN/06150150411","06.15015-0411")</f>
        <v>06.15015-0411</v>
      </c>
      <c r="B624" s="12" t="str">
        <f>HYPERLINK("https://parts-sales.ru/parts/MAN/06150150411","Шайба 8X16X1,6-300HV-MAN183-B1")</f>
        <v>Шайба 8X16X1,6-300HV-MAN183-B1</v>
      </c>
      <c r="C624" s="3" t="s">
        <v>6</v>
      </c>
      <c r="D624" s="4">
        <v>229.2</v>
      </c>
      <c r="E624" s="4">
        <v>75</v>
      </c>
      <c r="F624" s="8">
        <v>0.67</v>
      </c>
      <c r="H624" s="11"/>
      <c r="I624" s="11"/>
      <c r="J624" s="11"/>
    </row>
    <row r="625" spans="1:10" ht="15.75" x14ac:dyDescent="0.3">
      <c r="A625" s="13" t="str">
        <f>HYPERLINK("https://parts-sales.ru/parts/MAN/06150150412","06.15015-0412")</f>
        <v>06.15015-0412</v>
      </c>
      <c r="B625" s="13" t="str">
        <f>HYPERLINK("https://parts-sales.ru/parts/MAN/06150150412","Шайба 10X20X2-300HV-MAN183-B1")</f>
        <v>Шайба 10X20X2-300HV-MAN183-B1</v>
      </c>
      <c r="C625" s="5" t="s">
        <v>6</v>
      </c>
      <c r="D625" s="6">
        <v>231.6</v>
      </c>
      <c r="E625" s="6">
        <v>49</v>
      </c>
      <c r="F625" s="9">
        <v>0.79</v>
      </c>
      <c r="H625" s="11"/>
      <c r="I625" s="11"/>
      <c r="J625" s="11"/>
    </row>
    <row r="626" spans="1:10" ht="15.75" x14ac:dyDescent="0.3">
      <c r="A626" s="12" t="str">
        <f>HYPERLINK("https://parts-sales.ru/parts/MAN/06150150413","06.15015-0413")</f>
        <v>06.15015-0413</v>
      </c>
      <c r="B626" s="12" t="str">
        <f>HYPERLINK("https://parts-sales.ru/parts/MAN/06150150413","Шайба 12X24X2,5-300HV-MAN183-B1")</f>
        <v>Шайба 12X24X2,5-300HV-MAN183-B1</v>
      </c>
      <c r="C626" s="3" t="s">
        <v>6</v>
      </c>
      <c r="D626" s="4">
        <v>787.2</v>
      </c>
      <c r="E626" s="4">
        <v>253</v>
      </c>
      <c r="F626" s="8">
        <v>0.68</v>
      </c>
      <c r="H626" s="11"/>
      <c r="I626" s="11"/>
      <c r="J626" s="11"/>
    </row>
    <row r="627" spans="1:10" ht="15.75" x14ac:dyDescent="0.3">
      <c r="A627" s="13" t="str">
        <f>HYPERLINK("https://parts-sales.ru/parts/MAN/06150150415","06.15015-0415")</f>
        <v>06.15015-0415</v>
      </c>
      <c r="B627" s="13" t="str">
        <f>HYPERLINK("https://parts-sales.ru/parts/MAN/06150150415","Шайба 14X28X2,5-300HV-MAN183-B1")</f>
        <v>Шайба 14X28X2,5-300HV-MAN183-B1</v>
      </c>
      <c r="C627" s="5" t="s">
        <v>6</v>
      </c>
      <c r="D627" s="6">
        <v>469.2</v>
      </c>
      <c r="E627" s="6">
        <v>17</v>
      </c>
      <c r="F627" s="9">
        <v>0.96</v>
      </c>
      <c r="H627" s="11"/>
      <c r="I627" s="11"/>
      <c r="J627" s="11"/>
    </row>
    <row r="628" spans="1:10" ht="15.75" x14ac:dyDescent="0.3">
      <c r="A628" s="12" t="str">
        <f>HYPERLINK("https://parts-sales.ru/parts/MAN/06150150416","06.15015-0416")</f>
        <v>06.15015-0416</v>
      </c>
      <c r="B628" s="12" t="str">
        <f>HYPERLINK("https://parts-sales.ru/parts/MAN/06150150416","Шайба 16X30X3-300HV-MAN183-B1")</f>
        <v>Шайба 16X30X3-300HV-MAN183-B1</v>
      </c>
      <c r="C628" s="3" t="s">
        <v>6</v>
      </c>
      <c r="D628" s="4">
        <v>224.4</v>
      </c>
      <c r="E628" s="4">
        <v>11</v>
      </c>
      <c r="F628" s="8">
        <v>0.95</v>
      </c>
      <c r="H628" s="11"/>
      <c r="I628" s="11"/>
      <c r="J628" s="11"/>
    </row>
    <row r="629" spans="1:10" ht="15.75" x14ac:dyDescent="0.3">
      <c r="A629" s="13" t="str">
        <f>HYPERLINK("https://parts-sales.ru/parts/MAN/06150160109","06.15016-0109")</f>
        <v>06.15016-0109</v>
      </c>
      <c r="B629" s="13" t="str">
        <f>HYPERLINK("https://parts-sales.ru/parts/MAN/06150160109","Шайба 6X12X1,6-200HV-A2")</f>
        <v>Шайба 6X12X1,6-200HV-A2</v>
      </c>
      <c r="C629" s="5" t="s">
        <v>6</v>
      </c>
      <c r="D629" s="6">
        <v>109.2</v>
      </c>
      <c r="E629" s="6">
        <v>2</v>
      </c>
      <c r="F629" s="9">
        <v>0.98</v>
      </c>
      <c r="H629" s="11"/>
      <c r="I629" s="11"/>
      <c r="J629" s="11"/>
    </row>
    <row r="630" spans="1:10" ht="15.75" x14ac:dyDescent="0.3">
      <c r="A630" s="12" t="str">
        <f>HYPERLINK("https://parts-sales.ru/parts/MAN/06150160311","06.15016-0311")</f>
        <v>06.15016-0311</v>
      </c>
      <c r="B630" s="12" t="str">
        <f>HYPERLINK("https://parts-sales.ru/parts/MAN/06150160311","Шайба 8X16X1,6-200HV-A2")</f>
        <v>Шайба 8X16X1,6-200HV-A2</v>
      </c>
      <c r="C630" s="3" t="s">
        <v>6</v>
      </c>
      <c r="D630" s="4">
        <v>250.8</v>
      </c>
      <c r="E630" s="4">
        <v>1</v>
      </c>
      <c r="F630" s="8">
        <v>1</v>
      </c>
      <c r="H630" s="11"/>
      <c r="I630" s="11"/>
      <c r="J630" s="11"/>
    </row>
    <row r="631" spans="1:10" ht="15.75" x14ac:dyDescent="0.3">
      <c r="A631" s="13" t="str">
        <f>HYPERLINK("https://parts-sales.ru/parts/MAN/06150190085","06.15019-0085")</f>
        <v>06.15019-0085</v>
      </c>
      <c r="B631" s="13" t="str">
        <f>HYPERLINK("https://parts-sales.ru/parts/MAN/06150190085","Шайба 4X9X0,8-200HV-MAN183-B4")</f>
        <v>Шайба 4X9X0,8-200HV-MAN183-B4</v>
      </c>
      <c r="C631" s="5" t="s">
        <v>6</v>
      </c>
      <c r="D631" s="6">
        <v>211.2</v>
      </c>
      <c r="E631" s="6">
        <v>9</v>
      </c>
      <c r="F631" s="9">
        <v>0.96</v>
      </c>
      <c r="H631" s="11"/>
      <c r="I631" s="11"/>
      <c r="J631" s="11"/>
    </row>
    <row r="632" spans="1:10" ht="15.75" x14ac:dyDescent="0.3">
      <c r="A632" s="12" t="str">
        <f>HYPERLINK("https://parts-sales.ru/parts/MAN/06150190087","06.15019-0087")</f>
        <v>06.15019-0087</v>
      </c>
      <c r="B632" s="12" t="str">
        <f>HYPERLINK("https://parts-sales.ru/parts/MAN/06150190087","Шайба 6X12X1,6-200HV-MAN183-B4")</f>
        <v>Шайба 6X12X1,6-200HV-MAN183-B4</v>
      </c>
      <c r="C632" s="3" t="s">
        <v>6</v>
      </c>
      <c r="D632" s="4">
        <v>94.8</v>
      </c>
      <c r="E632" s="4">
        <v>25</v>
      </c>
      <c r="F632" s="8">
        <v>0.74</v>
      </c>
      <c r="H632" s="11"/>
      <c r="I632" s="11"/>
      <c r="J632" s="11"/>
    </row>
    <row r="633" spans="1:10" ht="15.75" x14ac:dyDescent="0.3">
      <c r="A633" s="13" t="str">
        <f>HYPERLINK("https://parts-sales.ru/parts/MAN/06150190095","06.15019-0095")</f>
        <v>06.15019-0095</v>
      </c>
      <c r="B633" s="13" t="str">
        <f>HYPERLINK("https://parts-sales.ru/parts/MAN/06150190095","Шайба 8X16X1,6-200HV-A4")</f>
        <v>Шайба 8X16X1,6-200HV-A4</v>
      </c>
      <c r="C633" s="5" t="s">
        <v>6</v>
      </c>
      <c r="D633" s="6">
        <v>126</v>
      </c>
      <c r="E633" s="6">
        <v>30</v>
      </c>
      <c r="F633" s="9">
        <v>0.76</v>
      </c>
      <c r="H633" s="11"/>
      <c r="I633" s="11"/>
      <c r="J633" s="11"/>
    </row>
    <row r="634" spans="1:10" ht="15.75" x14ac:dyDescent="0.3">
      <c r="A634" s="12" t="str">
        <f>HYPERLINK("https://parts-sales.ru/parts/MAN/06150190111","06.15019-0111")</f>
        <v>06.15019-0111</v>
      </c>
      <c r="B634" s="12" t="str">
        <f>HYPERLINK("https://parts-sales.ru/parts/MAN/06150190111","Шайба 10-200HV-B3-IF")</f>
        <v>Шайба 10-200HV-B3-IF</v>
      </c>
      <c r="C634" s="3" t="s">
        <v>6</v>
      </c>
      <c r="D634" s="4">
        <v>62.4</v>
      </c>
      <c r="E634" s="4">
        <v>15</v>
      </c>
      <c r="F634" s="8">
        <v>0.76</v>
      </c>
      <c r="H634" s="11"/>
      <c r="I634" s="11"/>
      <c r="J634" s="11"/>
    </row>
    <row r="635" spans="1:10" ht="15.75" x14ac:dyDescent="0.3">
      <c r="A635" s="13" t="str">
        <f>HYPERLINK("https://parts-sales.ru/parts/MAN/06150330811","06.15033-0811")</f>
        <v>06.15033-0811</v>
      </c>
      <c r="B635" s="13" t="str">
        <f>HYPERLINK("https://parts-sales.ru/parts/MAN/06150330811","Шайба 5X9X1-200HV-MAN183-B1")</f>
        <v>Шайба 5X9X1-200HV-MAN183-B1</v>
      </c>
      <c r="C635" s="5" t="s">
        <v>6</v>
      </c>
      <c r="D635" s="6">
        <v>109.2</v>
      </c>
      <c r="E635" s="6">
        <v>19</v>
      </c>
      <c r="F635" s="9">
        <v>0.83</v>
      </c>
      <c r="H635" s="11"/>
      <c r="I635" s="11"/>
      <c r="J635" s="11"/>
    </row>
    <row r="636" spans="1:10" ht="15.75" x14ac:dyDescent="0.3">
      <c r="A636" s="12" t="str">
        <f>HYPERLINK("https://parts-sales.ru/parts/MAN/06150330814","06.15033-0814")</f>
        <v>06.15033-0814</v>
      </c>
      <c r="B636" s="12" t="str">
        <f>HYPERLINK("https://parts-sales.ru/parts/MAN/06150330814","Шайба 10X18X1,6-200HV-MAN183-B1")</f>
        <v>Шайба 10X18X1,6-200HV-MAN183-B1</v>
      </c>
      <c r="C636" s="3" t="s">
        <v>6</v>
      </c>
      <c r="D636" s="4">
        <v>148.80000000000001</v>
      </c>
      <c r="E636" s="4">
        <v>36</v>
      </c>
      <c r="F636" s="8">
        <v>0.76</v>
      </c>
      <c r="H636" s="11"/>
      <c r="I636" s="11"/>
      <c r="J636" s="11"/>
    </row>
    <row r="637" spans="1:10" ht="15.75" x14ac:dyDescent="0.3">
      <c r="A637" s="13" t="str">
        <f>HYPERLINK("https://parts-sales.ru/parts/MAN/06150706102","06.15070-6102")</f>
        <v>06.15070-6102</v>
      </c>
      <c r="B637" s="13" t="str">
        <f>HYPERLINK("https://parts-sales.ru/parts/MAN/06150706102","Шайба 6X22X2-100HV-MAN183-B1")</f>
        <v>Шайба 6X22X2-100HV-MAN183-B1</v>
      </c>
      <c r="C637" s="5" t="s">
        <v>6</v>
      </c>
      <c r="D637" s="6">
        <v>326.39999999999998</v>
      </c>
      <c r="E637" s="6">
        <v>6</v>
      </c>
      <c r="F637" s="9">
        <v>0.98</v>
      </c>
      <c r="H637" s="11"/>
      <c r="I637" s="11"/>
      <c r="J637" s="11"/>
    </row>
    <row r="638" spans="1:10" ht="15.75" x14ac:dyDescent="0.3">
      <c r="A638" s="12" t="str">
        <f>HYPERLINK("https://parts-sales.ru/parts/MAN/06150706103","06.15070-6103")</f>
        <v>06.15070-6103</v>
      </c>
      <c r="B638" s="12" t="str">
        <f>HYPERLINK("https://parts-sales.ru/parts/MAN/06150706103","Шайба 9X28X3-100HV-MAN183-B1")</f>
        <v>Шайба 9X28X3-100HV-MAN183-B1</v>
      </c>
      <c r="C638" s="3" t="s">
        <v>6</v>
      </c>
      <c r="D638" s="4">
        <v>976.8</v>
      </c>
      <c r="E638" s="4">
        <v>271</v>
      </c>
      <c r="F638" s="8">
        <v>0.72</v>
      </c>
      <c r="H638" s="11"/>
      <c r="I638" s="11"/>
      <c r="J638" s="11"/>
    </row>
    <row r="639" spans="1:10" ht="15.75" x14ac:dyDescent="0.3">
      <c r="A639" s="13" t="str">
        <f>HYPERLINK("https://parts-sales.ru/parts/MAN/06150706104","06.15070-6104")</f>
        <v>06.15070-6104</v>
      </c>
      <c r="B639" s="13" t="str">
        <f>HYPERLINK("https://parts-sales.ru/parts/MAN/06150706104","Шайба 10X34X3-100HV-MAN183-B1")</f>
        <v>Шайба 10X34X3-100HV-MAN183-B1</v>
      </c>
      <c r="C639" s="5" t="s">
        <v>6</v>
      </c>
      <c r="D639" s="6">
        <v>60</v>
      </c>
      <c r="E639" s="6">
        <v>13</v>
      </c>
      <c r="F639" s="9">
        <v>0.78</v>
      </c>
      <c r="H639" s="11"/>
      <c r="I639" s="11"/>
      <c r="J639" s="11"/>
    </row>
    <row r="640" spans="1:10" ht="15.75" x14ac:dyDescent="0.3">
      <c r="A640" s="12" t="str">
        <f>HYPERLINK("https://parts-sales.ru/parts/MAN/06151132615","06.15113-2615")</f>
        <v>06.15113-2615</v>
      </c>
      <c r="B640" s="12" t="str">
        <f>HYPERLINK("https://parts-sales.ru/parts/MAN/06151132615","Опорная шайба S17X24X1,5-FST")</f>
        <v>Опорная шайба S17X24X1,5-FST</v>
      </c>
      <c r="C640" s="3" t="s">
        <v>6</v>
      </c>
      <c r="D640" s="4">
        <v>231.6</v>
      </c>
      <c r="E640" s="4">
        <v>57</v>
      </c>
      <c r="F640" s="8">
        <v>0.75</v>
      </c>
      <c r="H640" s="11"/>
      <c r="I640" s="11"/>
      <c r="J640" s="11"/>
    </row>
    <row r="641" spans="1:10" ht="15.75" x14ac:dyDescent="0.3">
      <c r="A641" s="13" t="str">
        <f>HYPERLINK("https://parts-sales.ru/parts/MAN/06151140416","06.15114-0416")</f>
        <v>06.15114-0416</v>
      </c>
      <c r="B641" s="13" t="str">
        <f>HYPERLINK("https://parts-sales.ru/parts/MAN/06151140416","Установочная шайба 18X25X0,5-ST2K50")</f>
        <v>Установочная шайба 18X25X0,5-ST2K50</v>
      </c>
      <c r="C641" s="5" t="s">
        <v>6</v>
      </c>
      <c r="D641" s="6">
        <v>74.400000000000006</v>
      </c>
      <c r="E641" s="6">
        <v>15</v>
      </c>
      <c r="F641" s="9">
        <v>0.8</v>
      </c>
      <c r="H641" s="11"/>
      <c r="I641" s="11"/>
      <c r="J641" s="11"/>
    </row>
    <row r="642" spans="1:10" ht="15.75" x14ac:dyDescent="0.3">
      <c r="A642" s="12" t="str">
        <f>HYPERLINK("https://parts-sales.ru/parts/MAN/06151142114","06.15114-2114")</f>
        <v>06.15114-2114</v>
      </c>
      <c r="B642" s="12" t="str">
        <f>HYPERLINK("https://parts-sales.ru/parts/MAN/06151142114","Установочная шайба 16X22X1-ST2K50")</f>
        <v>Установочная шайба 16X22X1-ST2K50</v>
      </c>
      <c r="C642" s="3" t="s">
        <v>6</v>
      </c>
      <c r="D642" s="4">
        <v>483.6</v>
      </c>
      <c r="E642" s="4">
        <v>73</v>
      </c>
      <c r="F642" s="8">
        <v>0.85</v>
      </c>
      <c r="H642" s="11"/>
      <c r="I642" s="11"/>
      <c r="J642" s="11"/>
    </row>
    <row r="643" spans="1:10" ht="15.75" x14ac:dyDescent="0.3">
      <c r="A643" s="13" t="str">
        <f>HYPERLINK("https://parts-sales.ru/parts/MAN/06151142116","06.15114-2116")</f>
        <v>06.15114-2116</v>
      </c>
      <c r="B643" s="13" t="str">
        <f>HYPERLINK("https://parts-sales.ru/parts/MAN/06151142116","Установочная шайба 18X25X1-ST2K50")</f>
        <v>Установочная шайба 18X25X1-ST2K50</v>
      </c>
      <c r="C643" s="5" t="s">
        <v>6</v>
      </c>
      <c r="D643" s="6">
        <v>730.8</v>
      </c>
      <c r="E643" s="6">
        <v>185</v>
      </c>
      <c r="F643" s="9">
        <v>0.75</v>
      </c>
      <c r="H643" s="11"/>
      <c r="I643" s="11"/>
      <c r="J643" s="11"/>
    </row>
    <row r="644" spans="1:10" ht="15.75" x14ac:dyDescent="0.3">
      <c r="A644" s="12" t="str">
        <f>HYPERLINK("https://parts-sales.ru/parts/MAN/06151142316","06.15114-2316")</f>
        <v>06.15114-2316</v>
      </c>
      <c r="B644" s="12" t="str">
        <f>HYPERLINK("https://parts-sales.ru/parts/MAN/06151142316","Установочная шайба 18X25X1,2-ST2K50")</f>
        <v>Установочная шайба 18X25X1,2-ST2K50</v>
      </c>
      <c r="C644" s="3" t="s">
        <v>6</v>
      </c>
      <c r="D644" s="4">
        <v>622.79999999999995</v>
      </c>
      <c r="E644" s="4">
        <v>168</v>
      </c>
      <c r="F644" s="8">
        <v>0.73</v>
      </c>
      <c r="H644" s="11"/>
      <c r="I644" s="11"/>
      <c r="J644" s="11"/>
    </row>
    <row r="645" spans="1:10" ht="15.75" x14ac:dyDescent="0.3">
      <c r="A645" s="13" t="str">
        <f>HYPERLINK("https://parts-sales.ru/parts/MAN/06151200608","06.15120-0608")</f>
        <v>06.15120-0608</v>
      </c>
      <c r="B645" s="13" t="str">
        <f>HYPERLINK("https://parts-sales.ru/parts/MAN/06151200608","Шайба 10X20X2,5-ST-MAN183-B1")</f>
        <v>Шайба 10X20X2,5-ST-MAN183-B1</v>
      </c>
      <c r="C645" s="5" t="s">
        <v>6</v>
      </c>
      <c r="D645" s="6">
        <v>223.2</v>
      </c>
      <c r="E645" s="6">
        <v>10</v>
      </c>
      <c r="F645" s="9">
        <v>0.96</v>
      </c>
      <c r="H645" s="11"/>
      <c r="I645" s="11"/>
      <c r="J645" s="11"/>
    </row>
    <row r="646" spans="1:10" ht="15.75" x14ac:dyDescent="0.3">
      <c r="A646" s="12" t="str">
        <f>HYPERLINK("https://parts-sales.ru/parts/MAN/06151506110","06.15150-6110")</f>
        <v>06.15150-6110</v>
      </c>
      <c r="B646" s="12" t="str">
        <f>HYPERLINK("https://parts-sales.ru/parts/MAN/06151506110","Стопорная шайба 15X32X4-C45-MAN183-B1")</f>
        <v>Стопорная шайба 15X32X4-C45-MAN183-B1</v>
      </c>
      <c r="C646" s="3" t="s">
        <v>6</v>
      </c>
      <c r="D646" s="4">
        <v>114</v>
      </c>
      <c r="E646" s="4">
        <v>12</v>
      </c>
      <c r="F646" s="8">
        <v>0.89</v>
      </c>
      <c r="H646" s="11"/>
      <c r="I646" s="11"/>
      <c r="J646" s="11"/>
    </row>
    <row r="647" spans="1:10" ht="15.75" x14ac:dyDescent="0.3">
      <c r="A647" s="13" t="str">
        <f>HYPERLINK("https://parts-sales.ru/parts/MAN/06151590006","06.15159-0006")</f>
        <v>06.15159-0006</v>
      </c>
      <c r="B647" s="13" t="str">
        <f>HYPERLINK("https://parts-sales.ru/parts/MAN/06151590006","Шайба 17X30X4-ENTFETTET")</f>
        <v>Шайба 17X30X4-ENTFETTET</v>
      </c>
      <c r="C647" s="5" t="s">
        <v>6</v>
      </c>
      <c r="D647" s="6">
        <v>710.4</v>
      </c>
      <c r="E647" s="6">
        <v>89</v>
      </c>
      <c r="F647" s="9">
        <v>0.87</v>
      </c>
      <c r="H647" s="11"/>
      <c r="I647" s="11"/>
      <c r="J647" s="11"/>
    </row>
    <row r="648" spans="1:10" ht="15.75" x14ac:dyDescent="0.3">
      <c r="A648" s="12" t="str">
        <f>HYPERLINK("https://parts-sales.ru/parts/MAN/06151590007","06.15159-0007")</f>
        <v>06.15159-0007</v>
      </c>
      <c r="B648" s="12" t="str">
        <f>HYPERLINK("https://parts-sales.ru/parts/MAN/06151590007","Шайба 19X35X4-MAN183-B1")</f>
        <v>Шайба 19X35X4-MAN183-B1</v>
      </c>
      <c r="C648" s="3" t="s">
        <v>6</v>
      </c>
      <c r="D648" s="4">
        <v>962.4</v>
      </c>
      <c r="E648" s="4">
        <v>17</v>
      </c>
      <c r="F648" s="8">
        <v>0.98</v>
      </c>
      <c r="H648" s="11"/>
      <c r="I648" s="11"/>
      <c r="J648" s="11"/>
    </row>
    <row r="649" spans="1:10" ht="15.75" x14ac:dyDescent="0.3">
      <c r="A649" s="13" t="str">
        <f>HYPERLINK("https://parts-sales.ru/parts/MAN/06151930305","06.15193-0305")</f>
        <v>06.15193-0305</v>
      </c>
      <c r="B649" s="13" t="str">
        <f>HYPERLINK("https://parts-sales.ru/parts/MAN/06151930305","Шайба 4X12X1-200HV-MAN183-B1")</f>
        <v>Шайба 4X12X1-200HV-MAN183-B1</v>
      </c>
      <c r="C649" s="5" t="s">
        <v>6</v>
      </c>
      <c r="D649" s="6">
        <v>114</v>
      </c>
      <c r="E649" s="6">
        <v>1</v>
      </c>
      <c r="F649" s="9">
        <v>0.99</v>
      </c>
      <c r="H649" s="11"/>
      <c r="I649" s="11"/>
      <c r="J649" s="11"/>
    </row>
    <row r="650" spans="1:10" ht="15.75" x14ac:dyDescent="0.3">
      <c r="A650" s="12" t="str">
        <f>HYPERLINK("https://parts-sales.ru/parts/MAN/06151930307","06.15193-0307")</f>
        <v>06.15193-0307</v>
      </c>
      <c r="B650" s="12" t="str">
        <f>HYPERLINK("https://parts-sales.ru/parts/MAN/06151930307","Шайба 6,4X18X1,6-200HV-MAN183-B1")</f>
        <v>Шайба 6,4X18X1,6-200HV-MAN183-B1</v>
      </c>
      <c r="C650" s="3" t="s">
        <v>6</v>
      </c>
      <c r="D650" s="4">
        <v>116.84</v>
      </c>
      <c r="E650" s="4">
        <v>60</v>
      </c>
      <c r="F650" s="8">
        <v>0.49</v>
      </c>
      <c r="H650" s="11"/>
      <c r="I650" s="11"/>
      <c r="J650" s="11"/>
    </row>
    <row r="651" spans="1:10" ht="15.75" x14ac:dyDescent="0.3">
      <c r="A651" s="13" t="str">
        <f>HYPERLINK("https://parts-sales.ru/parts/MAN/06151930309","06.15193-0309")</f>
        <v>06.15193-0309</v>
      </c>
      <c r="B651" s="13" t="str">
        <f>HYPERLINK("https://parts-sales.ru/parts/MAN/06151930309","Шайба 8,4X24X2-200HV-MAN183-B1")</f>
        <v>Шайба 8,4X24X2-200HV-MAN183-B1</v>
      </c>
      <c r="C651" s="5" t="s">
        <v>6</v>
      </c>
      <c r="D651" s="6">
        <v>156</v>
      </c>
      <c r="E651" s="6">
        <v>60</v>
      </c>
      <c r="F651" s="9">
        <v>0.62</v>
      </c>
      <c r="H651" s="11"/>
      <c r="I651" s="11"/>
      <c r="J651" s="11"/>
    </row>
    <row r="652" spans="1:10" ht="15.75" x14ac:dyDescent="0.3">
      <c r="A652" s="12" t="str">
        <f>HYPERLINK("https://parts-sales.ru/parts/MAN/06151930310","06.15193-0310")</f>
        <v>06.15193-0310</v>
      </c>
      <c r="B652" s="12" t="str">
        <f>HYPERLINK("https://parts-sales.ru/parts/MAN/06151930310","Шайба 10,5X30X2,5-200HV-MAN183-B1")</f>
        <v>Шайба 10,5X30X2,5-200HV-MAN183-B1</v>
      </c>
      <c r="C652" s="3" t="s">
        <v>6</v>
      </c>
      <c r="D652" s="4">
        <v>147.6</v>
      </c>
      <c r="E652" s="4">
        <v>6</v>
      </c>
      <c r="F652" s="8">
        <v>0.96</v>
      </c>
      <c r="H652" s="11"/>
      <c r="I652" s="11"/>
      <c r="J652" s="11"/>
    </row>
    <row r="653" spans="1:10" ht="15.75" x14ac:dyDescent="0.3">
      <c r="A653" s="13" t="str">
        <f>HYPERLINK("https://parts-sales.ru/parts/MAN/06151930311","06.15193-0311")</f>
        <v>06.15193-0311</v>
      </c>
      <c r="B653" s="13" t="str">
        <f>HYPERLINK("https://parts-sales.ru/parts/MAN/06151930311","Шайба 13X37X3-200HV-MAN183-B1")</f>
        <v>Шайба 13X37X3-200HV-MAN183-B1</v>
      </c>
      <c r="C653" s="5" t="s">
        <v>6</v>
      </c>
      <c r="D653" s="6">
        <v>176.4</v>
      </c>
      <c r="E653" s="6">
        <v>6</v>
      </c>
      <c r="F653" s="9">
        <v>0.97</v>
      </c>
      <c r="H653" s="11"/>
      <c r="I653" s="11"/>
      <c r="J653" s="11"/>
    </row>
    <row r="654" spans="1:10" ht="15.75" x14ac:dyDescent="0.3">
      <c r="A654" s="12" t="str">
        <f>HYPERLINK("https://parts-sales.ru/parts/MAN/06151930405","06.15193-0405")</f>
        <v>06.15193-0405</v>
      </c>
      <c r="B654" s="12" t="str">
        <f>HYPERLINK("https://parts-sales.ru/parts/MAN/06151930405","Шайба 4X12X1-200HV-MAN183-B1")</f>
        <v>Шайба 4X12X1-200HV-MAN183-B1</v>
      </c>
      <c r="C654" s="3" t="s">
        <v>6</v>
      </c>
      <c r="D654" s="4">
        <v>132</v>
      </c>
      <c r="E654" s="4">
        <v>26</v>
      </c>
      <c r="F654" s="8">
        <v>0.8</v>
      </c>
      <c r="H654" s="11"/>
      <c r="I654" s="11"/>
      <c r="J654" s="11"/>
    </row>
    <row r="655" spans="1:10" ht="15.75" x14ac:dyDescent="0.3">
      <c r="A655" s="13" t="str">
        <f>HYPERLINK("https://parts-sales.ru/parts/MAN/06151930406","06.15193-0406")</f>
        <v>06.15193-0406</v>
      </c>
      <c r="B655" s="13" t="str">
        <f>HYPERLINK("https://parts-sales.ru/parts/MAN/06151930406","Шайба 5X15X1-200HV-MAN183-B4")</f>
        <v>Шайба 5X15X1-200HV-MAN183-B4</v>
      </c>
      <c r="C655" s="5" t="s">
        <v>6</v>
      </c>
      <c r="D655" s="6">
        <v>202.8</v>
      </c>
      <c r="E655" s="6">
        <v>36</v>
      </c>
      <c r="F655" s="9">
        <v>0.82</v>
      </c>
      <c r="H655" s="11"/>
      <c r="I655" s="11"/>
      <c r="J655" s="11"/>
    </row>
    <row r="656" spans="1:10" ht="15.75" x14ac:dyDescent="0.3">
      <c r="A656" s="12" t="str">
        <f>HYPERLINK("https://parts-sales.ru/parts/MAN/06151930409","06.15193-0409")</f>
        <v>06.15193-0409</v>
      </c>
      <c r="B656" s="12" t="str">
        <f>HYPERLINK("https://parts-sales.ru/parts/MAN/06151930409","Шайба 8,4X24X2-200HV-MAN183-B4")</f>
        <v>Шайба 8,4X24X2-200HV-MAN183-B4</v>
      </c>
      <c r="C656" s="3" t="s">
        <v>6</v>
      </c>
      <c r="D656" s="4">
        <v>253.2</v>
      </c>
      <c r="E656" s="4">
        <v>2</v>
      </c>
      <c r="F656" s="8">
        <v>0.99</v>
      </c>
      <c r="H656" s="11"/>
      <c r="I656" s="11"/>
      <c r="J656" s="11"/>
    </row>
    <row r="657" spans="1:10" ht="15.75" x14ac:dyDescent="0.3">
      <c r="A657" s="13" t="str">
        <f>HYPERLINK("https://parts-sales.ru/parts/MAN/06151940407","06.15194-0407")</f>
        <v>06.15194-0407</v>
      </c>
      <c r="B657" s="13" t="str">
        <f>HYPERLINK("https://parts-sales.ru/parts/MAN/06151940407","Шайба 6,4X18X1,6-300HV-MAN183-B4")</f>
        <v>Шайба 6,4X18X1,6-300HV-MAN183-B4</v>
      </c>
      <c r="C657" s="5" t="s">
        <v>6</v>
      </c>
      <c r="D657" s="6">
        <v>300</v>
      </c>
      <c r="E657" s="6">
        <v>150</v>
      </c>
      <c r="F657" s="9">
        <v>0.5</v>
      </c>
      <c r="H657" s="11"/>
      <c r="I657" s="11"/>
      <c r="J657" s="11"/>
    </row>
    <row r="658" spans="1:10" ht="15.75" x14ac:dyDescent="0.3">
      <c r="A658" s="12" t="str">
        <f>HYPERLINK("https://parts-sales.ru/parts/MAN/06151940409","06.15194-0409")</f>
        <v>06.15194-0409</v>
      </c>
      <c r="B658" s="12" t="str">
        <f>HYPERLINK("https://parts-sales.ru/parts/MAN/06151940409","Шайба 8,4X24X2-300HV-MAN183-B4")</f>
        <v>Шайба 8,4X24X2-300HV-MAN183-B4</v>
      </c>
      <c r="C658" s="3" t="s">
        <v>6</v>
      </c>
      <c r="D658" s="4">
        <v>288</v>
      </c>
      <c r="E658" s="4">
        <v>156</v>
      </c>
      <c r="F658" s="8">
        <v>0.46</v>
      </c>
      <c r="H658" s="11"/>
      <c r="I658" s="11"/>
      <c r="J658" s="11"/>
    </row>
    <row r="659" spans="1:10" ht="15.75" x14ac:dyDescent="0.3">
      <c r="A659" s="13" t="str">
        <f>HYPERLINK("https://parts-sales.ru/parts/MAN/06152300205","06.15230-0205")</f>
        <v>06.15230-0205</v>
      </c>
      <c r="B659" s="13" t="str">
        <f>HYPERLINK("https://parts-sales.ru/parts/MAN/06152300205","Шайба 8,4X21X4-ST-MAN183-B1")</f>
        <v>Шайба 8,4X21X4-ST-MAN183-B1</v>
      </c>
      <c r="C659" s="5" t="s">
        <v>6</v>
      </c>
      <c r="D659" s="6">
        <v>84</v>
      </c>
      <c r="E659" s="6">
        <v>6</v>
      </c>
      <c r="F659" s="9">
        <v>0.93</v>
      </c>
      <c r="H659" s="11"/>
      <c r="I659" s="11"/>
      <c r="J659" s="11"/>
    </row>
    <row r="660" spans="1:10" ht="15.75" x14ac:dyDescent="0.3">
      <c r="A660" s="12" t="str">
        <f>HYPERLINK("https://parts-sales.ru/parts/MAN/06152300209","06.15230-0209")</f>
        <v>06.15230-0209</v>
      </c>
      <c r="B660" s="12" t="str">
        <f>HYPERLINK("https://parts-sales.ru/parts/MAN/06152300209","Шайба 17X40X6-S235JR-MAN183-B1")</f>
        <v>Шайба 17X40X6-S235JR-MAN183-B1</v>
      </c>
      <c r="C660" s="3" t="s">
        <v>6</v>
      </c>
      <c r="D660" s="4">
        <v>1138.8</v>
      </c>
      <c r="E660" s="4">
        <v>192</v>
      </c>
      <c r="F660" s="8">
        <v>0.83</v>
      </c>
      <c r="H660" s="11"/>
      <c r="I660" s="11"/>
      <c r="J660" s="11"/>
    </row>
    <row r="661" spans="1:10" ht="15.75" x14ac:dyDescent="0.3">
      <c r="A661" s="13" t="str">
        <f>HYPERLINK("https://parts-sales.ru/parts/MAN/06152310208","06.15231-0208")</f>
        <v>06.15231-0208</v>
      </c>
      <c r="B661" s="13" t="str">
        <f>HYPERLINK("https://parts-sales.ru/parts/MAN/06152310208","Шайба 15X36X6-ST60-MAN183-B1")</f>
        <v>Шайба 15X36X6-ST60-MAN183-B1</v>
      </c>
      <c r="C661" s="5" t="s">
        <v>6</v>
      </c>
      <c r="D661" s="6">
        <v>978</v>
      </c>
      <c r="E661" s="6">
        <v>8</v>
      </c>
      <c r="F661" s="9">
        <v>0.99</v>
      </c>
      <c r="H661" s="11"/>
      <c r="I661" s="11"/>
      <c r="J661" s="11"/>
    </row>
    <row r="662" spans="1:10" ht="15.75" x14ac:dyDescent="0.3">
      <c r="A662" s="12" t="str">
        <f>HYPERLINK("https://parts-sales.ru/parts/MAN/06160203915","06.16020-3915")</f>
        <v>06.16020-3915</v>
      </c>
      <c r="B662" s="12" t="str">
        <f>HYPERLINK("https://parts-sales.ru/parts/MAN/06160203915","Шплинт 4X40-ST-MAN183-B13")</f>
        <v>Шплинт 4X40-ST-MAN183-B13</v>
      </c>
      <c r="C662" s="3" t="s">
        <v>6</v>
      </c>
      <c r="D662" s="4">
        <v>108</v>
      </c>
      <c r="E662" s="4">
        <v>18</v>
      </c>
      <c r="F662" s="8">
        <v>0.83</v>
      </c>
      <c r="H662" s="11"/>
      <c r="I662" s="11"/>
      <c r="J662" s="11"/>
    </row>
    <row r="663" spans="1:10" ht="15.75" x14ac:dyDescent="0.3">
      <c r="A663" s="13" t="str">
        <f>HYPERLINK("https://parts-sales.ru/parts/MAN/06160204015","06.16020-4015")</f>
        <v>06.16020-4015</v>
      </c>
      <c r="B663" s="13" t="str">
        <f>HYPERLINK("https://parts-sales.ru/parts/MAN/06160204015","Шплинт 5X40-ST-MAN183-B13")</f>
        <v>Шплинт 5X40-ST-MAN183-B13</v>
      </c>
      <c r="C663" s="5" t="s">
        <v>6</v>
      </c>
      <c r="D663" s="6">
        <v>123.6</v>
      </c>
      <c r="E663" s="6">
        <v>19</v>
      </c>
      <c r="F663" s="9">
        <v>0.85</v>
      </c>
      <c r="H663" s="11"/>
      <c r="I663" s="11"/>
      <c r="J663" s="11"/>
    </row>
    <row r="664" spans="1:10" ht="15.75" x14ac:dyDescent="0.3">
      <c r="A664" s="12" t="str">
        <f>HYPERLINK("https://parts-sales.ru/parts/MAN/06160206617","06.16020-6617")</f>
        <v>06.16020-6617</v>
      </c>
      <c r="B664" s="12" t="str">
        <f>HYPERLINK("https://parts-sales.ru/parts/MAN/06160206617","Шплинт 3,2X50-ST-A4C")</f>
        <v>Шплинт 3,2X50-ST-A4C</v>
      </c>
      <c r="C664" s="3" t="s">
        <v>6</v>
      </c>
      <c r="D664" s="4">
        <v>132</v>
      </c>
      <c r="E664" s="4">
        <v>26</v>
      </c>
      <c r="F664" s="8">
        <v>0.8</v>
      </c>
      <c r="H664" s="11"/>
      <c r="I664" s="11"/>
      <c r="J664" s="11"/>
    </row>
    <row r="665" spans="1:10" ht="15.75" x14ac:dyDescent="0.3">
      <c r="A665" s="13" t="str">
        <f>HYPERLINK("https://parts-sales.ru/parts/MAN/06160206822","06.16020-6822")</f>
        <v>06.16020-6822</v>
      </c>
      <c r="B665" s="13" t="str">
        <f>HYPERLINK("https://parts-sales.ru/parts/MAN/06160206822","Шплинт 5X71-ST-A4C")</f>
        <v>Шплинт 5X71-ST-A4C</v>
      </c>
      <c r="C665" s="5" t="s">
        <v>6</v>
      </c>
      <c r="D665" s="6">
        <v>338.4</v>
      </c>
      <c r="E665" s="6">
        <v>61</v>
      </c>
      <c r="F665" s="9">
        <v>0.82</v>
      </c>
      <c r="H665" s="11"/>
      <c r="I665" s="11"/>
      <c r="J665" s="11"/>
    </row>
    <row r="666" spans="1:10" ht="15.75" x14ac:dyDescent="0.3">
      <c r="A666" s="12" t="str">
        <f>HYPERLINK("https://parts-sales.ru/parts/MAN/06160206922","06.16020-6922")</f>
        <v>06.16020-6922</v>
      </c>
      <c r="B666" s="12" t="str">
        <f>HYPERLINK("https://parts-sales.ru/parts/MAN/06160206922","Шплинт 6,3X71-ST-A4C")</f>
        <v>Шплинт 6,3X71-ST-A4C</v>
      </c>
      <c r="C666" s="3" t="s">
        <v>6</v>
      </c>
      <c r="D666" s="4">
        <v>326.39999999999998</v>
      </c>
      <c r="E666" s="4">
        <v>81</v>
      </c>
      <c r="F666" s="8">
        <v>0.75</v>
      </c>
      <c r="H666" s="11"/>
      <c r="I666" s="11"/>
      <c r="J666" s="11"/>
    </row>
    <row r="667" spans="1:10" ht="15.75" x14ac:dyDescent="0.3">
      <c r="A667" s="13" t="str">
        <f>HYPERLINK("https://parts-sales.ru/parts/MAN/06160206923","06.16020-6923")</f>
        <v>06.16020-6923</v>
      </c>
      <c r="B667" s="13" t="str">
        <f>HYPERLINK("https://parts-sales.ru/parts/MAN/06160206923","Шплинт 6,3X80-ST-A4C")</f>
        <v>Шплинт 6,3X80-ST-A4C</v>
      </c>
      <c r="C667" s="5" t="s">
        <v>6</v>
      </c>
      <c r="D667" s="6">
        <v>469.2</v>
      </c>
      <c r="E667" s="6">
        <v>107</v>
      </c>
      <c r="F667" s="9">
        <v>0.77</v>
      </c>
      <c r="H667" s="11"/>
      <c r="I667" s="11"/>
      <c r="J667" s="11"/>
    </row>
    <row r="668" spans="1:10" ht="15.75" x14ac:dyDescent="0.3">
      <c r="A668" s="12" t="str">
        <f>HYPERLINK("https://parts-sales.ru/parts/MAN/06160220609","06.16022-0609")</f>
        <v>06.16022-0609</v>
      </c>
      <c r="B668" s="12" t="str">
        <f>HYPERLINK("https://parts-sales.ru/parts/MAN/06160220609","Шплинт 3,2X20-A2-12H")</f>
        <v>Шплинт 3,2X20-A2-12H</v>
      </c>
      <c r="C668" s="3" t="s">
        <v>6</v>
      </c>
      <c r="D668" s="4">
        <v>74.400000000000006</v>
      </c>
      <c r="E668" s="4">
        <v>16</v>
      </c>
      <c r="F668" s="8">
        <v>0.78</v>
      </c>
      <c r="H668" s="11"/>
      <c r="I668" s="11"/>
      <c r="J668" s="11"/>
    </row>
    <row r="669" spans="1:10" ht="15.75" x14ac:dyDescent="0.3">
      <c r="A669" s="13" t="str">
        <f>HYPERLINK("https://parts-sales.ru/parts/MAN/06160290036","06.16029-0036")</f>
        <v>06.16029-0036</v>
      </c>
      <c r="B669" s="13" t="str">
        <f>HYPERLINK("https://parts-sales.ru/parts/MAN/06160290036","Шплинт 4X25-A2-12H")</f>
        <v>Шплинт 4X25-A2-12H</v>
      </c>
      <c r="C669" s="5" t="s">
        <v>6</v>
      </c>
      <c r="D669" s="6">
        <v>320.39999999999998</v>
      </c>
      <c r="E669" s="6">
        <v>22</v>
      </c>
      <c r="F669" s="9">
        <v>0.93</v>
      </c>
      <c r="H669" s="11"/>
      <c r="I669" s="11"/>
      <c r="J669" s="11"/>
    </row>
    <row r="670" spans="1:10" ht="15.75" x14ac:dyDescent="0.3">
      <c r="A670" s="12" t="str">
        <f>HYPERLINK("https://parts-sales.ru/parts/MAN/06160430208","06.16043-0208")</f>
        <v>06.16043-0208</v>
      </c>
      <c r="B670" s="12" t="str">
        <f>HYPERLINK("https://parts-sales.ru/parts/MAN/06160430208","Упругая шайба B6-FST-A3C")</f>
        <v>Упругая шайба B6-FST-A3C</v>
      </c>
      <c r="C670" s="3" t="s">
        <v>6</v>
      </c>
      <c r="D670" s="4">
        <v>79.2</v>
      </c>
      <c r="E670" s="4">
        <v>11</v>
      </c>
      <c r="F670" s="8">
        <v>0.86</v>
      </c>
      <c r="H670" s="11"/>
      <c r="I670" s="11"/>
      <c r="J670" s="11"/>
    </row>
    <row r="671" spans="1:10" ht="15.75" x14ac:dyDescent="0.3">
      <c r="A671" s="13" t="str">
        <f>HYPERLINK("https://parts-sales.ru/parts/MAN/06160430213","06.16043-0213")</f>
        <v>06.16043-0213</v>
      </c>
      <c r="B671" s="13" t="str">
        <f>HYPERLINK("https://parts-sales.ru/parts/MAN/06160430213","Упругая шайба B14-FST-A3C")</f>
        <v>Упругая шайба B14-FST-A3C</v>
      </c>
      <c r="C671" s="5" t="s">
        <v>6</v>
      </c>
      <c r="D671" s="6">
        <v>274.8</v>
      </c>
      <c r="E671" s="6">
        <v>22</v>
      </c>
      <c r="F671" s="9">
        <v>0.92</v>
      </c>
      <c r="H671" s="11"/>
      <c r="I671" s="11"/>
      <c r="J671" s="11"/>
    </row>
    <row r="672" spans="1:10" ht="15.75" x14ac:dyDescent="0.3">
      <c r="A672" s="12" t="str">
        <f>HYPERLINK("https://parts-sales.ru/parts/MAN/06160430214","06.16043-0214")</f>
        <v>06.16043-0214</v>
      </c>
      <c r="B672" s="12" t="str">
        <f>HYPERLINK("https://parts-sales.ru/parts/MAN/06160430214","Упругая шайба B16-FST-A3C")</f>
        <v>Упругая шайба B16-FST-A3C</v>
      </c>
      <c r="C672" s="3" t="s">
        <v>6</v>
      </c>
      <c r="D672" s="4">
        <v>356.4</v>
      </c>
      <c r="E672" s="4">
        <v>57</v>
      </c>
      <c r="F672" s="8">
        <v>0.84</v>
      </c>
      <c r="H672" s="11"/>
      <c r="I672" s="11"/>
      <c r="J672" s="11"/>
    </row>
    <row r="673" spans="1:10" ht="15.75" x14ac:dyDescent="0.3">
      <c r="A673" s="13" t="str">
        <f>HYPERLINK("https://parts-sales.ru/parts/MAN/06160460213","06.16046-0213")</f>
        <v>06.16046-0213</v>
      </c>
      <c r="B673" s="13" t="str">
        <f>HYPERLINK("https://parts-sales.ru/parts/MAN/06160460213","Упругая шайба B14-FST-MAN183-B1")</f>
        <v>Упругая шайба B14-FST-MAN183-B1</v>
      </c>
      <c r="C673" s="5" t="s">
        <v>6</v>
      </c>
      <c r="D673" s="6">
        <v>142.80000000000001</v>
      </c>
      <c r="E673" s="6">
        <v>26</v>
      </c>
      <c r="F673" s="9">
        <v>0.82</v>
      </c>
      <c r="H673" s="11"/>
      <c r="I673" s="11"/>
      <c r="J673" s="11"/>
    </row>
    <row r="674" spans="1:10" ht="15.75" x14ac:dyDescent="0.3">
      <c r="A674" s="12" t="str">
        <f>HYPERLINK("https://parts-sales.ru/parts/MAN/06160460214","06.16046-0214")</f>
        <v>06.16046-0214</v>
      </c>
      <c r="B674" s="12" t="str">
        <f>HYPERLINK("https://parts-sales.ru/parts/MAN/06160460214","Упругая шайба B16-FST-MAN183-B1")</f>
        <v>Упругая шайба B16-FST-MAN183-B1</v>
      </c>
      <c r="C674" s="3" t="s">
        <v>6</v>
      </c>
      <c r="D674" s="4">
        <v>134.4</v>
      </c>
      <c r="E674" s="4">
        <v>31</v>
      </c>
      <c r="F674" s="8">
        <v>0.77</v>
      </c>
      <c r="H674" s="11"/>
      <c r="I674" s="11"/>
      <c r="J674" s="11"/>
    </row>
    <row r="675" spans="1:10" ht="15.75" x14ac:dyDescent="0.3">
      <c r="A675" s="13" t="str">
        <f>HYPERLINK("https://parts-sales.ru/parts/MAN/06161190002","06.16119-0002")</f>
        <v>06.16119-0002</v>
      </c>
      <c r="B675" s="13" t="str">
        <f>HYPERLINK("https://parts-sales.ru/parts/MAN/06161190002","Стопорная шайба 4,5-13-FST")</f>
        <v>Стопорная шайба 4,5-13-FST</v>
      </c>
      <c r="C675" s="5" t="s">
        <v>6</v>
      </c>
      <c r="D675" s="6">
        <v>378</v>
      </c>
      <c r="E675" s="6">
        <v>119</v>
      </c>
      <c r="F675" s="9">
        <v>0.69</v>
      </c>
      <c r="H675" s="11"/>
      <c r="I675" s="11"/>
      <c r="J675" s="11"/>
    </row>
    <row r="676" spans="1:10" ht="15.75" x14ac:dyDescent="0.3">
      <c r="A676" s="12" t="str">
        <f>HYPERLINK("https://parts-sales.ru/parts/MAN/06161190020","06.16119-0020")</f>
        <v>06.16119-0020</v>
      </c>
      <c r="B676" s="12" t="str">
        <f>HYPERLINK("https://parts-sales.ru/parts/MAN/06161190020","Стопорная шайба 6-16-FST")</f>
        <v>Стопорная шайба 6-16-FST</v>
      </c>
      <c r="C676" s="3" t="s">
        <v>6</v>
      </c>
      <c r="D676" s="4">
        <v>266.39999999999998</v>
      </c>
      <c r="E676" s="4">
        <v>8</v>
      </c>
      <c r="F676" s="8">
        <v>0.97</v>
      </c>
      <c r="H676" s="11"/>
      <c r="I676" s="11"/>
      <c r="J676" s="11"/>
    </row>
    <row r="677" spans="1:10" ht="15.75" x14ac:dyDescent="0.3">
      <c r="A677" s="13" t="str">
        <f>HYPERLINK("https://parts-sales.ru/parts/MAN/06161600205","06.16160-0205")</f>
        <v>06.16160-0205</v>
      </c>
      <c r="B677" s="13" t="str">
        <f>HYPERLINK("https://parts-sales.ru/parts/MAN/06161600205","Стопорная шайба 8-MAN183-B11")</f>
        <v>Стопорная шайба 8-MAN183-B11</v>
      </c>
      <c r="C677" s="5" t="s">
        <v>6</v>
      </c>
      <c r="D677" s="6">
        <v>126</v>
      </c>
      <c r="E677" s="6">
        <v>30</v>
      </c>
      <c r="F677" s="9">
        <v>0.76</v>
      </c>
      <c r="H677" s="11"/>
      <c r="I677" s="11"/>
      <c r="J677" s="11"/>
    </row>
    <row r="678" spans="1:10" ht="15.75" x14ac:dyDescent="0.3">
      <c r="A678" s="12" t="str">
        <f>HYPERLINK("https://parts-sales.ru/parts/MAN/06161600206","06.16160-0206")</f>
        <v>06.16160-0206</v>
      </c>
      <c r="B678" s="12" t="str">
        <f>HYPERLINK("https://parts-sales.ru/parts/MAN/06161600206","Стопорная шайба 10-MAN183-B11")</f>
        <v>Стопорная шайба 10-MAN183-B11</v>
      </c>
      <c r="C678" s="3" t="s">
        <v>6</v>
      </c>
      <c r="D678" s="4">
        <v>211.2</v>
      </c>
      <c r="E678" s="4">
        <v>3</v>
      </c>
      <c r="F678" s="8">
        <v>0.99</v>
      </c>
      <c r="H678" s="11"/>
      <c r="I678" s="11"/>
      <c r="J678" s="11"/>
    </row>
    <row r="679" spans="1:10" ht="15.75" x14ac:dyDescent="0.3">
      <c r="A679" s="13" t="str">
        <f>HYPERLINK("https://parts-sales.ru/parts/MAN/06161602104","06.16160-2104")</f>
        <v>06.16160-2104</v>
      </c>
      <c r="B679" s="13" t="str">
        <f>HYPERLINK("https://parts-sales.ru/parts/MAN/06161602104","Стопорная шайба 6-ZNM")</f>
        <v>Стопорная шайба 6-ZNM</v>
      </c>
      <c r="C679" s="5" t="s">
        <v>6</v>
      </c>
      <c r="D679" s="6">
        <v>211.2</v>
      </c>
      <c r="E679" s="6">
        <v>9</v>
      </c>
      <c r="F679" s="9">
        <v>0.96</v>
      </c>
      <c r="H679" s="11"/>
      <c r="I679" s="11"/>
      <c r="J679" s="11"/>
    </row>
    <row r="680" spans="1:10" ht="15.75" x14ac:dyDescent="0.3">
      <c r="A680" s="12" t="str">
        <f>HYPERLINK("https://parts-sales.ru/parts/MAN/06161602112","06.16160-2112")</f>
        <v>06.16160-2112</v>
      </c>
      <c r="B680" s="12" t="str">
        <f>HYPERLINK("https://parts-sales.ru/parts/MAN/06161602112","Стопорная шайба 22-ZNM")</f>
        <v>Стопорная шайба 22-ZNM</v>
      </c>
      <c r="C680" s="3" t="s">
        <v>6</v>
      </c>
      <c r="D680" s="4">
        <v>598.79999999999995</v>
      </c>
      <c r="E680" s="4">
        <v>127</v>
      </c>
      <c r="F680" s="8">
        <v>0.79</v>
      </c>
      <c r="H680" s="11"/>
      <c r="I680" s="11"/>
      <c r="J680" s="11"/>
    </row>
    <row r="681" spans="1:10" ht="15.75" x14ac:dyDescent="0.3">
      <c r="A681" s="13" t="str">
        <f>HYPERLINK("https://parts-sales.ru/parts/MAN/06161604104","06.16160-4104")</f>
        <v>06.16160-4104</v>
      </c>
      <c r="B681" s="13" t="str">
        <f>HYPERLINK("https://parts-sales.ru/parts/MAN/06161604104","Стопорная шайба 6-MAN183-B1")</f>
        <v>Стопорная шайба 6-MAN183-B1</v>
      </c>
      <c r="C681" s="5" t="s">
        <v>6</v>
      </c>
      <c r="D681" s="6">
        <v>45.6</v>
      </c>
      <c r="E681" s="6">
        <v>1</v>
      </c>
      <c r="F681" s="9">
        <v>0.98</v>
      </c>
      <c r="H681" s="11"/>
      <c r="I681" s="11"/>
      <c r="J681" s="11"/>
    </row>
    <row r="682" spans="1:10" ht="15.75" x14ac:dyDescent="0.3">
      <c r="A682" s="12" t="str">
        <f>HYPERLINK("https://parts-sales.ru/parts/MAN/06161604105","06.16160-4105")</f>
        <v>06.16160-4105</v>
      </c>
      <c r="B682" s="12" t="str">
        <f>HYPERLINK("https://parts-sales.ru/parts/MAN/06161604105","Стопорная шайба 8-MAN183-B1")</f>
        <v>Стопорная шайба 8-MAN183-B1</v>
      </c>
      <c r="C682" s="3" t="s">
        <v>6</v>
      </c>
      <c r="D682" s="4">
        <v>64.8</v>
      </c>
      <c r="E682" s="4">
        <v>2</v>
      </c>
      <c r="F682" s="8">
        <v>0.97</v>
      </c>
      <c r="H682" s="11"/>
      <c r="I682" s="11"/>
      <c r="J682" s="11"/>
    </row>
    <row r="683" spans="1:10" ht="15.75" x14ac:dyDescent="0.3">
      <c r="A683" s="13" t="str">
        <f>HYPERLINK("https://parts-sales.ru/parts/MAN/06161890008","06.16189-0008")</f>
        <v>06.16189-0008</v>
      </c>
      <c r="B683" s="13" t="str">
        <f>HYPERLINK("https://parts-sales.ru/parts/MAN/06161890008","Натяжной шкив 8-FST-MAN183-B1")</f>
        <v>Натяжной шкив 8-FST-MAN183-B1</v>
      </c>
      <c r="C683" s="5" t="s">
        <v>6</v>
      </c>
      <c r="D683" s="6">
        <v>74.400000000000006</v>
      </c>
      <c r="E683" s="6">
        <v>6</v>
      </c>
      <c r="F683" s="9">
        <v>0.92</v>
      </c>
      <c r="H683" s="11"/>
      <c r="I683" s="11"/>
      <c r="J683" s="11"/>
    </row>
    <row r="684" spans="1:10" ht="15.75" x14ac:dyDescent="0.3">
      <c r="A684" s="12" t="str">
        <f>HYPERLINK("https://parts-sales.ru/parts/MAN/06167390014","06.16739-0014")</f>
        <v>06.16739-0014</v>
      </c>
      <c r="B684" s="12" t="str">
        <f>HYPERLINK("https://parts-sales.ru/parts/MAN/06167390014","Пружинная шайба A8-MAN183-B1")</f>
        <v>Пружинная шайба A8-MAN183-B1</v>
      </c>
      <c r="C684" s="3" t="s">
        <v>6</v>
      </c>
      <c r="D684" s="4">
        <v>97.2</v>
      </c>
      <c r="E684" s="4">
        <v>13</v>
      </c>
      <c r="F684" s="8">
        <v>0.87</v>
      </c>
      <c r="H684" s="11"/>
      <c r="I684" s="11"/>
      <c r="J684" s="11"/>
    </row>
    <row r="685" spans="1:10" ht="15.75" x14ac:dyDescent="0.3">
      <c r="A685" s="13" t="str">
        <f>HYPERLINK("https://parts-sales.ru/parts/MAN/06167600111","06.16760-0111")</f>
        <v>06.16760-0111</v>
      </c>
      <c r="B685" s="13" t="str">
        <f>HYPERLINK("https://parts-sales.ru/parts/MAN/06167600111","Стопорная шайба 19,5-M18-A3C")</f>
        <v>Стопорная шайба 19,5-M18-A3C</v>
      </c>
      <c r="C685" s="5" t="s">
        <v>6</v>
      </c>
      <c r="D685" s="6">
        <v>468</v>
      </c>
      <c r="E685" s="6">
        <v>101</v>
      </c>
      <c r="F685" s="9">
        <v>0.78</v>
      </c>
      <c r="H685" s="11"/>
      <c r="I685" s="11"/>
      <c r="J685" s="11"/>
    </row>
    <row r="686" spans="1:10" ht="15.75" x14ac:dyDescent="0.3">
      <c r="A686" s="12" t="str">
        <f>HYPERLINK("https://parts-sales.ru/parts/MAN/06167600211","06.16760-0211")</f>
        <v>06.16760-0211</v>
      </c>
      <c r="B686" s="12" t="str">
        <f>HYPERLINK("https://parts-sales.ru/parts/MAN/06167600211","Стопорная шайба 19,5-M18-MAN183-B1")</f>
        <v>Стопорная шайба 19,5-M18-MAN183-B1</v>
      </c>
      <c r="C686" s="3" t="s">
        <v>6</v>
      </c>
      <c r="D686" s="4">
        <v>800.4</v>
      </c>
      <c r="E686" s="4">
        <v>171</v>
      </c>
      <c r="F686" s="8">
        <v>0.79</v>
      </c>
      <c r="H686" s="11"/>
      <c r="I686" s="11"/>
      <c r="J686" s="11"/>
    </row>
    <row r="687" spans="1:10" ht="15.75" x14ac:dyDescent="0.3">
      <c r="A687" s="13" t="str">
        <f>HYPERLINK("https://parts-sales.ru/parts/MAN/06167690001","06.16769-0001")</f>
        <v>06.16769-0001</v>
      </c>
      <c r="B687" s="13" t="str">
        <f>HYPERLINK("https://parts-sales.ru/parts/MAN/06167690001","Стопорная шайба 21,4-M20-MAN183-B1")</f>
        <v>Стопорная шайба 21,4-M20-MAN183-B1</v>
      </c>
      <c r="C687" s="5" t="s">
        <v>6</v>
      </c>
      <c r="D687" s="6">
        <v>2043.6</v>
      </c>
      <c r="E687" s="6">
        <v>44</v>
      </c>
      <c r="F687" s="9">
        <v>0.98</v>
      </c>
      <c r="H687" s="11"/>
      <c r="I687" s="11"/>
      <c r="J687" s="11"/>
    </row>
    <row r="688" spans="1:10" ht="15.75" x14ac:dyDescent="0.3">
      <c r="A688" s="12" t="str">
        <f>HYPERLINK("https://parts-sales.ru/parts/MAN/06215021115","06.21502-1115")</f>
        <v>06.21502-1115</v>
      </c>
      <c r="B688" s="12" t="str">
        <f>HYPERLINK("https://parts-sales.ru/parts/MAN/06215021115","Болт A20H9X45-ST50-2K")</f>
        <v>Болт A20H9X45-ST50-2K</v>
      </c>
      <c r="C688" s="3" t="s">
        <v>6</v>
      </c>
      <c r="D688" s="4">
        <v>496.8</v>
      </c>
      <c r="E688" s="4">
        <v>105</v>
      </c>
      <c r="F688" s="8">
        <v>0.79</v>
      </c>
      <c r="H688" s="11"/>
      <c r="I688" s="11"/>
      <c r="J688" s="11"/>
    </row>
    <row r="689" spans="1:10" ht="15.75" x14ac:dyDescent="0.3">
      <c r="A689" s="13" t="str">
        <f>HYPERLINK("https://parts-sales.ru/parts/MAN/06215690228","06.21569-0228")</f>
        <v>06.21569-0228</v>
      </c>
      <c r="B689" s="13" t="str">
        <f>HYPERLINK("https://parts-sales.ru/parts/MAN/06215690228","Болт B16H11X65-CQ15K-MAN183-B1")</f>
        <v>Болт B16H11X65-CQ15K-MAN183-B1</v>
      </c>
      <c r="C689" s="5" t="s">
        <v>6</v>
      </c>
      <c r="D689" s="6">
        <v>2083.1999999999998</v>
      </c>
      <c r="E689" s="6">
        <v>71</v>
      </c>
      <c r="F689" s="9">
        <v>0.97</v>
      </c>
      <c r="H689" s="11"/>
      <c r="I689" s="11"/>
      <c r="J689" s="11"/>
    </row>
    <row r="690" spans="1:10" ht="15.75" x14ac:dyDescent="0.3">
      <c r="A690" s="12" t="str">
        <f>HYPERLINK("https://parts-sales.ru/parts/MAN/06215690233","06.21569-0233")</f>
        <v>06.21569-0233</v>
      </c>
      <c r="B690" s="12" t="str">
        <f>HYPERLINK("https://parts-sales.ru/parts/MAN/06215690233","Болт B12F8X50X45-CQ15K-MAN183-B1")</f>
        <v>Болт B12F8X50X45-CQ15K-MAN183-B1</v>
      </c>
      <c r="C690" s="3" t="s">
        <v>6</v>
      </c>
      <c r="D690" s="4">
        <v>2389.1999999999998</v>
      </c>
      <c r="E690" s="4">
        <v>253</v>
      </c>
      <c r="F690" s="8">
        <v>0.89</v>
      </c>
      <c r="H690" s="11"/>
      <c r="I690" s="11"/>
      <c r="J690" s="11"/>
    </row>
    <row r="691" spans="1:10" ht="15.75" x14ac:dyDescent="0.3">
      <c r="A691" s="13" t="str">
        <f>HYPERLINK("https://parts-sales.ru/parts/MAN/06216412608","06.21641-2608")</f>
        <v>06.21641-2608</v>
      </c>
      <c r="B691" s="13" t="str">
        <f>HYPERLINK("https://parts-sales.ru/parts/MAN/06216412608","Герметичная заглушка 10")</f>
        <v>Герметичная заглушка 10</v>
      </c>
      <c r="C691" s="5" t="s">
        <v>6</v>
      </c>
      <c r="D691" s="6">
        <v>2786.4</v>
      </c>
      <c r="E691" s="6">
        <v>335</v>
      </c>
      <c r="F691" s="9">
        <v>0.88</v>
      </c>
      <c r="H691" s="11"/>
      <c r="I691" s="11"/>
      <c r="J691" s="11"/>
    </row>
    <row r="692" spans="1:10" ht="15.75" x14ac:dyDescent="0.3">
      <c r="A692" s="12" t="str">
        <f>HYPERLINK("https://parts-sales.ru/parts/MAN/06216490003","06.21649-0003")</f>
        <v>06.21649-0003</v>
      </c>
      <c r="B692" s="12" t="str">
        <f>HYPERLINK("https://parts-sales.ru/parts/MAN/06216490003","Герметичная заглушка 6X5,0-C15PB/9SMNPB2")</f>
        <v>Герметичная заглушка 6X5,0-C15PB/9SMNPB2</v>
      </c>
      <c r="C692" s="3" t="s">
        <v>6</v>
      </c>
      <c r="D692" s="4">
        <v>2326.8000000000002</v>
      </c>
      <c r="E692" s="4">
        <v>955</v>
      </c>
      <c r="F692" s="8">
        <v>0.59</v>
      </c>
      <c r="H692" s="11"/>
      <c r="I692" s="11"/>
      <c r="J692" s="11"/>
    </row>
    <row r="693" spans="1:10" ht="15.75" x14ac:dyDescent="0.3">
      <c r="A693" s="13" t="str">
        <f>HYPERLINK("https://parts-sales.ru/parts/MAN/06216490010","06.21649-0010")</f>
        <v>06.21649-0010</v>
      </c>
      <c r="B693" s="13" t="str">
        <f>HYPERLINK("https://parts-sales.ru/parts/MAN/06216490010","Герметичная заглушка 6X5-C15PB/9SMNPB28K")</f>
        <v>Герметичная заглушка 6X5-C15PB/9SMNPB28K</v>
      </c>
      <c r="C693" s="5" t="s">
        <v>6</v>
      </c>
      <c r="D693" s="6">
        <v>2908.8</v>
      </c>
      <c r="E693" s="6">
        <v>593</v>
      </c>
      <c r="F693" s="9">
        <v>0.8</v>
      </c>
      <c r="H693" s="11"/>
      <c r="I693" s="11"/>
      <c r="J693" s="11"/>
    </row>
    <row r="694" spans="1:10" ht="15.75" x14ac:dyDescent="0.3">
      <c r="A694" s="12" t="str">
        <f>HYPERLINK("https://parts-sales.ru/parts/MAN/06220220807","06.22022-0807")</f>
        <v>06.22022-0807</v>
      </c>
      <c r="B694" s="12" t="str">
        <f>HYPERLINK("https://parts-sales.ru/parts/MAN/06220220807","Цилиндрический винт 5M6X10-ST50-2K")</f>
        <v>Цилиндрический винт 5M6X10-ST50-2K</v>
      </c>
      <c r="C694" s="3" t="s">
        <v>6</v>
      </c>
      <c r="D694" s="4">
        <v>52.8</v>
      </c>
      <c r="E694" s="4">
        <v>12</v>
      </c>
      <c r="F694" s="8">
        <v>0.77</v>
      </c>
      <c r="H694" s="11"/>
      <c r="I694" s="11"/>
      <c r="J694" s="11"/>
    </row>
    <row r="695" spans="1:10" ht="15.75" x14ac:dyDescent="0.3">
      <c r="A695" s="13" t="str">
        <f>HYPERLINK("https://parts-sales.ru/parts/MAN/06220221011","06.22022-1011")</f>
        <v>06.22022-1011</v>
      </c>
      <c r="B695" s="13" t="str">
        <f>HYPERLINK("https://parts-sales.ru/parts/MAN/06220221011","Цилиндрический винт 8M6X18-ST50-2K")</f>
        <v>Цилиндрический винт 8M6X18-ST50-2K</v>
      </c>
      <c r="C695" s="5" t="s">
        <v>6</v>
      </c>
      <c r="D695" s="6">
        <v>483.6</v>
      </c>
      <c r="E695" s="6">
        <v>161</v>
      </c>
      <c r="F695" s="9">
        <v>0.67</v>
      </c>
      <c r="H695" s="11"/>
      <c r="I695" s="11"/>
      <c r="J695" s="11"/>
    </row>
    <row r="696" spans="1:10" ht="15.75" x14ac:dyDescent="0.3">
      <c r="A696" s="12" t="str">
        <f>HYPERLINK("https://parts-sales.ru/parts/MAN/06220221013","06.22022-1013")</f>
        <v>06.22022-1013</v>
      </c>
      <c r="B696" s="12" t="str">
        <f>HYPERLINK("https://parts-sales.ru/parts/MAN/06220221013","Цилиндрический винт 8M6X24-ST50-2K")</f>
        <v>Цилиндрический винт 8M6X24-ST50-2K</v>
      </c>
      <c r="C696" s="3" t="s">
        <v>6</v>
      </c>
      <c r="D696" s="4">
        <v>559.20000000000005</v>
      </c>
      <c r="E696" s="4">
        <v>194</v>
      </c>
      <c r="F696" s="8">
        <v>0.65</v>
      </c>
      <c r="H696" s="11"/>
      <c r="I696" s="11"/>
      <c r="J696" s="11"/>
    </row>
    <row r="697" spans="1:10" ht="15.75" x14ac:dyDescent="0.3">
      <c r="A697" s="13" t="str">
        <f>HYPERLINK("https://parts-sales.ru/parts/MAN/06220290088","06.22029-0088")</f>
        <v>06.22029-0088</v>
      </c>
      <c r="B697" s="13" t="str">
        <f>HYPERLINK("https://parts-sales.ru/parts/MAN/06220290088","Цилиндрический винт 12M6X105-ST50-2K")</f>
        <v>Цилиндрический винт 12M6X105-ST50-2K</v>
      </c>
      <c r="C697" s="5" t="s">
        <v>6</v>
      </c>
      <c r="D697" s="6">
        <v>1298.4000000000001</v>
      </c>
      <c r="E697" s="6">
        <v>270</v>
      </c>
      <c r="F697" s="9">
        <v>0.79</v>
      </c>
      <c r="H697" s="11"/>
      <c r="I697" s="11"/>
      <c r="J697" s="11"/>
    </row>
    <row r="698" spans="1:10" ht="15.75" x14ac:dyDescent="0.3">
      <c r="A698" s="12" t="str">
        <f>HYPERLINK("https://parts-sales.ru/parts/MAN/06220290092","06.22029-0092")</f>
        <v>06.22029-0092</v>
      </c>
      <c r="B698" s="12" t="str">
        <f>HYPERLINK("https://parts-sales.ru/parts/MAN/06220290092","Цилиндрический винт 8M6X50-16MNCR5E")</f>
        <v>Цилиндрический винт 8M6X50-16MNCR5E</v>
      </c>
      <c r="C698" s="3" t="s">
        <v>6</v>
      </c>
      <c r="D698" s="4">
        <v>1598.4</v>
      </c>
      <c r="E698" s="4">
        <v>249</v>
      </c>
      <c r="F698" s="8">
        <v>0.84</v>
      </c>
      <c r="H698" s="11"/>
      <c r="I698" s="11"/>
      <c r="J698" s="11"/>
    </row>
    <row r="699" spans="1:10" ht="15.75" x14ac:dyDescent="0.3">
      <c r="A699" s="13" t="str">
        <f>HYPERLINK("https://parts-sales.ru/parts/MAN/06220710916","06.22071-0916")</f>
        <v>06.22071-0916</v>
      </c>
      <c r="B699" s="13" t="str">
        <f>HYPERLINK("https://parts-sales.ru/parts/MAN/06220710916","Просечной штифт цилиндра 5X32-ST")</f>
        <v>Просечной штифт цилиндра 5X32-ST</v>
      </c>
      <c r="C699" s="5" t="s">
        <v>6</v>
      </c>
      <c r="D699" s="6">
        <v>142.80000000000001</v>
      </c>
      <c r="E699" s="6">
        <v>18</v>
      </c>
      <c r="F699" s="9">
        <v>0.87</v>
      </c>
      <c r="H699" s="11"/>
      <c r="I699" s="11"/>
      <c r="J699" s="11"/>
    </row>
    <row r="700" spans="1:10" ht="15.75" x14ac:dyDescent="0.3">
      <c r="A700" s="12" t="str">
        <f>HYPERLINK("https://parts-sales.ru/parts/MAN/06221200511","06.22120-0511")</f>
        <v>06.22120-0511</v>
      </c>
      <c r="B700" s="12" t="str">
        <f>HYPERLINK("https://parts-sales.ru/parts/MAN/06221200511","Трубчатый разрезной штифт 3X22-ST")</f>
        <v>Трубчатый разрезной штифт 3X22-ST</v>
      </c>
      <c r="C700" s="3" t="s">
        <v>6</v>
      </c>
      <c r="D700" s="4">
        <v>326.39999999999998</v>
      </c>
      <c r="E700" s="4">
        <v>73</v>
      </c>
      <c r="F700" s="8">
        <v>0.78</v>
      </c>
      <c r="H700" s="11"/>
      <c r="I700" s="11"/>
      <c r="J700" s="11"/>
    </row>
    <row r="701" spans="1:10" ht="15.75" x14ac:dyDescent="0.3">
      <c r="A701" s="13" t="str">
        <f>HYPERLINK("https://parts-sales.ru/parts/MAN/06221200613","06.22120-0613")</f>
        <v>06.22120-0613</v>
      </c>
      <c r="B701" s="13" t="str">
        <f>HYPERLINK("https://parts-sales.ru/parts/MAN/06221200613","Трубчатый разрезной штифт 3,5X26-ST")</f>
        <v>Трубчатый разрезной штифт 3,5X26-ST</v>
      </c>
      <c r="C701" s="5" t="s">
        <v>6</v>
      </c>
      <c r="D701" s="6">
        <v>202.8</v>
      </c>
      <c r="E701" s="6">
        <v>54</v>
      </c>
      <c r="F701" s="9">
        <v>0.73</v>
      </c>
      <c r="H701" s="11"/>
      <c r="I701" s="11"/>
      <c r="J701" s="11"/>
    </row>
    <row r="702" spans="1:10" ht="15.75" x14ac:dyDescent="0.3">
      <c r="A702" s="12" t="str">
        <f>HYPERLINK("https://parts-sales.ru/parts/MAN/06221203118","06.22120-3118")</f>
        <v>06.22120-3118</v>
      </c>
      <c r="B702" s="12" t="str">
        <f>HYPERLINK("https://parts-sales.ru/parts/MAN/06221203118","Трубчатый разрезной штифт 8X40-ST")</f>
        <v>Трубчатый разрезной штифт 8X40-ST</v>
      </c>
      <c r="C702" s="3" t="s">
        <v>6</v>
      </c>
      <c r="D702" s="4">
        <v>123.6</v>
      </c>
      <c r="E702" s="4">
        <v>25</v>
      </c>
      <c r="F702" s="8">
        <v>0.8</v>
      </c>
      <c r="H702" s="11"/>
      <c r="I702" s="11"/>
      <c r="J702" s="11"/>
    </row>
    <row r="703" spans="1:10" ht="15.75" x14ac:dyDescent="0.3">
      <c r="A703" s="13" t="str">
        <f>HYPERLINK("https://parts-sales.ru/parts/MAN/06221490006","06.22149-0006")</f>
        <v>06.22149-0006</v>
      </c>
      <c r="B703" s="13" t="str">
        <f>HYPERLINK("https://parts-sales.ru/parts/MAN/06221490006","Цилиндрический винт 12M6X40-16MNCR5E")</f>
        <v>Цилиндрический винт 12M6X40-16MNCR5E</v>
      </c>
      <c r="C703" s="5" t="s">
        <v>6</v>
      </c>
      <c r="D703" s="6">
        <v>612</v>
      </c>
      <c r="E703" s="6">
        <v>231</v>
      </c>
      <c r="F703" s="9">
        <v>0.62</v>
      </c>
      <c r="H703" s="11"/>
      <c r="I703" s="11"/>
      <c r="J703" s="11"/>
    </row>
    <row r="704" spans="1:10" ht="15.75" x14ac:dyDescent="0.3">
      <c r="A704" s="12" t="str">
        <f>HYPERLINK("https://parts-sales.ru/parts/MAN/06222201016","06.22220-1016")</f>
        <v>06.22220-1016</v>
      </c>
      <c r="B704" s="12" t="str">
        <f>HYPERLINK("https://parts-sales.ru/parts/MAN/06222201016","Спиральный натяжной винт 5X32-ST")</f>
        <v>Спиральный натяжной винт 5X32-ST</v>
      </c>
      <c r="C704" s="3" t="s">
        <v>6</v>
      </c>
      <c r="D704" s="4">
        <v>285.60000000000002</v>
      </c>
      <c r="E704" s="4">
        <v>74</v>
      </c>
      <c r="F704" s="8">
        <v>0.74</v>
      </c>
      <c r="H704" s="11"/>
      <c r="I704" s="11"/>
      <c r="J704" s="11"/>
    </row>
    <row r="705" spans="1:10" ht="15.75" x14ac:dyDescent="0.3">
      <c r="A705" s="13" t="str">
        <f>HYPERLINK("https://parts-sales.ru/parts/MAN/06222201018","06.22220-1018")</f>
        <v>06.22220-1018</v>
      </c>
      <c r="B705" s="13" t="str">
        <f>HYPERLINK("https://parts-sales.ru/parts/MAN/06222201018","Спиральный натяжной винт 5X40-ST")</f>
        <v>Спиральный натяжной винт 5X40-ST</v>
      </c>
      <c r="C705" s="5" t="s">
        <v>6</v>
      </c>
      <c r="D705" s="6">
        <v>285.60000000000002</v>
      </c>
      <c r="E705" s="6">
        <v>65</v>
      </c>
      <c r="F705" s="9">
        <v>0.77</v>
      </c>
      <c r="H705" s="11"/>
      <c r="I705" s="11"/>
      <c r="J705" s="11"/>
    </row>
    <row r="706" spans="1:10" ht="15.75" x14ac:dyDescent="0.3">
      <c r="A706" s="12" t="str">
        <f>HYPERLINK("https://parts-sales.ru/parts/MAN/06222201113","06.22220-1113")</f>
        <v>06.22220-1113</v>
      </c>
      <c r="B706" s="12" t="str">
        <f>HYPERLINK("https://parts-sales.ru/parts/MAN/06222201113","Спиральный натяжной винт 6X26-ST")</f>
        <v>Спиральный натяжной винт 6X26-ST</v>
      </c>
      <c r="C706" s="3" t="s">
        <v>6</v>
      </c>
      <c r="D706" s="4">
        <v>496.8</v>
      </c>
      <c r="E706" s="4">
        <v>90</v>
      </c>
      <c r="F706" s="8">
        <v>0.82</v>
      </c>
      <c r="H706" s="11"/>
      <c r="I706" s="11"/>
      <c r="J706" s="11"/>
    </row>
    <row r="707" spans="1:10" ht="15.75" x14ac:dyDescent="0.3">
      <c r="A707" s="13" t="str">
        <f>HYPERLINK("https://parts-sales.ru/parts/MAN/06222201208","06.22220-1208")</f>
        <v>06.22220-1208</v>
      </c>
      <c r="B707" s="13" t="str">
        <f>HYPERLINK("https://parts-sales.ru/parts/MAN/06222201208","Спиральный натяжной винт 8X16-ST")</f>
        <v>Спиральный натяжной винт 8X16-ST</v>
      </c>
      <c r="C707" s="5" t="s">
        <v>6</v>
      </c>
      <c r="D707" s="6">
        <v>291.60000000000002</v>
      </c>
      <c r="E707" s="6">
        <v>22</v>
      </c>
      <c r="F707" s="9">
        <v>0.92</v>
      </c>
      <c r="H707" s="11"/>
      <c r="I707" s="11"/>
      <c r="J707" s="11"/>
    </row>
    <row r="708" spans="1:10" ht="15.75" x14ac:dyDescent="0.3">
      <c r="A708" s="12" t="str">
        <f>HYPERLINK("https://parts-sales.ru/parts/MAN/06222201212","06.22220-1212")</f>
        <v>06.22220-1212</v>
      </c>
      <c r="B708" s="12" t="str">
        <f>HYPERLINK("https://parts-sales.ru/parts/MAN/06222201212","Спиральный натяжной винт 8X24-ST")</f>
        <v>Спиральный натяжной винт 8X24-ST</v>
      </c>
      <c r="C708" s="3" t="s">
        <v>6</v>
      </c>
      <c r="D708" s="4">
        <v>483.6</v>
      </c>
      <c r="E708" s="4">
        <v>124</v>
      </c>
      <c r="F708" s="8">
        <v>0.74</v>
      </c>
      <c r="H708" s="11"/>
      <c r="I708" s="11"/>
      <c r="J708" s="11"/>
    </row>
    <row r="709" spans="1:10" ht="15.75" x14ac:dyDescent="0.3">
      <c r="A709" s="13" t="str">
        <f>HYPERLINK("https://parts-sales.ru/parts/MAN/06231990002","06.23199-0002")</f>
        <v>06.23199-0002</v>
      </c>
      <c r="B709" s="13" t="str">
        <f>HYPERLINK("https://parts-sales.ru/parts/MAN/06231990002","Крюк-карабин C50-A2")</f>
        <v>Крюк-карабин C50-A2</v>
      </c>
      <c r="C709" s="5" t="s">
        <v>6</v>
      </c>
      <c r="D709" s="6">
        <v>2132.4</v>
      </c>
      <c r="E709" s="6">
        <v>440</v>
      </c>
      <c r="F709" s="9">
        <v>0.79</v>
      </c>
      <c r="H709" s="11"/>
      <c r="I709" s="11"/>
      <c r="J709" s="11"/>
    </row>
    <row r="710" spans="1:10" ht="15.75" x14ac:dyDescent="0.3">
      <c r="A710" s="12" t="str">
        <f>HYPERLINK("https://parts-sales.ru/parts/MAN/06240262211","06.24026-2211")</f>
        <v>06.24026-2211</v>
      </c>
      <c r="B710" s="12" t="str">
        <f>HYPERLINK("https://parts-sales.ru/parts/MAN/06240262211","Заклепка с полукруг. головкой 12X30-CQ15")</f>
        <v>Заклепка с полукруг. головкой 12X30-CQ15</v>
      </c>
      <c r="C710" s="3" t="s">
        <v>6</v>
      </c>
      <c r="D710" s="4">
        <v>583.20000000000005</v>
      </c>
      <c r="E710" s="4">
        <v>140</v>
      </c>
      <c r="F710" s="8">
        <v>0.76</v>
      </c>
      <c r="H710" s="11"/>
      <c r="I710" s="11"/>
      <c r="J710" s="11"/>
    </row>
    <row r="711" spans="1:10" ht="15.75" x14ac:dyDescent="0.3">
      <c r="A711" s="13" t="str">
        <f>HYPERLINK("https://parts-sales.ru/parts/MAN/06240262212","06.24026-2212")</f>
        <v>06.24026-2212</v>
      </c>
      <c r="B711" s="13" t="str">
        <f>HYPERLINK("https://parts-sales.ru/parts/MAN/06240262212","Заклепка с полукруг. головкой 12X32-CQ15")</f>
        <v>Заклепка с полукруг. головкой 12X32-CQ15</v>
      </c>
      <c r="C711" s="5" t="s">
        <v>6</v>
      </c>
      <c r="D711" s="6">
        <v>870</v>
      </c>
      <c r="E711" s="6">
        <v>235</v>
      </c>
      <c r="F711" s="9">
        <v>0.73</v>
      </c>
      <c r="H711" s="11"/>
      <c r="I711" s="11"/>
      <c r="J711" s="11"/>
    </row>
    <row r="712" spans="1:10" ht="15.75" x14ac:dyDescent="0.3">
      <c r="A712" s="12" t="str">
        <f>HYPERLINK("https://parts-sales.ru/parts/MAN/06240262312","06.24026-2312")</f>
        <v>06.24026-2312</v>
      </c>
      <c r="B712" s="12" t="str">
        <f>HYPERLINK("https://parts-sales.ru/parts/MAN/06240262312","Заклепка с полукруг. головкой 14X32-CQ15")</f>
        <v>Заклепка с полукруг. головкой 14X32-CQ15</v>
      </c>
      <c r="C712" s="3" t="s">
        <v>6</v>
      </c>
      <c r="D712" s="4">
        <v>19.87</v>
      </c>
      <c r="E712" s="4">
        <v>12</v>
      </c>
      <c r="F712" s="8">
        <v>0.4</v>
      </c>
      <c r="H712" s="11"/>
      <c r="I712" s="11"/>
      <c r="J712" s="11"/>
    </row>
    <row r="713" spans="1:10" ht="15.75" x14ac:dyDescent="0.3">
      <c r="A713" s="13" t="str">
        <f>HYPERLINK("https://parts-sales.ru/parts/MAN/06240262314","06.24026-2314")</f>
        <v>06.24026-2314</v>
      </c>
      <c r="B713" s="13" t="str">
        <f>HYPERLINK("https://parts-sales.ru/parts/MAN/06240262314","Заклепка с полукруг. головкой 14X36-CQ15")</f>
        <v>Заклепка с полукруг. головкой 14X36-CQ15</v>
      </c>
      <c r="C713" s="5" t="s">
        <v>6</v>
      </c>
      <c r="D713" s="6">
        <v>81.599999999999994</v>
      </c>
      <c r="E713" s="6">
        <v>9</v>
      </c>
      <c r="F713" s="9">
        <v>0.89</v>
      </c>
      <c r="H713" s="11"/>
      <c r="I713" s="11"/>
      <c r="J713" s="11"/>
    </row>
    <row r="714" spans="1:10" ht="15.75" x14ac:dyDescent="0.3">
      <c r="A714" s="12" t="str">
        <f>HYPERLINK("https://parts-sales.ru/parts/MAN/06240262316","06.24026-2316")</f>
        <v>06.24026-2316</v>
      </c>
      <c r="B714" s="12" t="str">
        <f>HYPERLINK("https://parts-sales.ru/parts/MAN/06240262316","Заклепка с полукруг. головкой 14X40-CQ15")</f>
        <v>Заклепка с полукруг. головкой 14X40-CQ15</v>
      </c>
      <c r="C714" s="3" t="s">
        <v>6</v>
      </c>
      <c r="D714" s="4">
        <v>919.2</v>
      </c>
      <c r="E714" s="4">
        <v>14</v>
      </c>
      <c r="F714" s="8">
        <v>0.98</v>
      </c>
      <c r="H714" s="11"/>
      <c r="I714" s="11"/>
      <c r="J714" s="11"/>
    </row>
    <row r="715" spans="1:10" ht="15.75" x14ac:dyDescent="0.3">
      <c r="A715" s="13" t="str">
        <f>HYPERLINK("https://parts-sales.ru/parts/MAN/06240262317","06.24026-2317")</f>
        <v>06.24026-2317</v>
      </c>
      <c r="B715" s="13" t="str">
        <f>HYPERLINK("https://parts-sales.ru/parts/MAN/06240262317","Заклепка с полукруг. головкой 14X42-CQ15")</f>
        <v>Заклепка с полукруг. головкой 14X42-CQ15</v>
      </c>
      <c r="C715" s="5" t="s">
        <v>6</v>
      </c>
      <c r="D715" s="6">
        <v>794.4</v>
      </c>
      <c r="E715" s="6">
        <v>15</v>
      </c>
      <c r="F715" s="9">
        <v>0.98</v>
      </c>
      <c r="H715" s="11"/>
      <c r="I715" s="11"/>
      <c r="J715" s="11"/>
    </row>
    <row r="716" spans="1:10" ht="15.75" x14ac:dyDescent="0.3">
      <c r="A716" s="12" t="str">
        <f>HYPERLINK("https://parts-sales.ru/parts/MAN/06240262320","06.24026-2320")</f>
        <v>06.24026-2320</v>
      </c>
      <c r="B716" s="12" t="str">
        <f>HYPERLINK("https://parts-sales.ru/parts/MAN/06240262320","Заклепка с полукруг. головкой 14X50-CQ15")</f>
        <v>Заклепка с полукруг. головкой 14X50-CQ15</v>
      </c>
      <c r="C716" s="3" t="s">
        <v>6</v>
      </c>
      <c r="D716" s="4">
        <v>577.20000000000005</v>
      </c>
      <c r="E716" s="4">
        <v>19</v>
      </c>
      <c r="F716" s="8">
        <v>0.97</v>
      </c>
      <c r="H716" s="11"/>
      <c r="I716" s="11"/>
      <c r="J716" s="11"/>
    </row>
    <row r="717" spans="1:10" ht="15.75" x14ac:dyDescent="0.3">
      <c r="A717" s="13" t="str">
        <f>HYPERLINK("https://parts-sales.ru/parts/MAN/06242400271","06.24240-0271")</f>
        <v>06.24240-0271</v>
      </c>
      <c r="B717" s="13" t="str">
        <f>HYPERLINK("https://parts-sales.ru/parts/MAN/06242400271","Глухая заклепка A4X16,7-ALMG2,5/ST-BK/A2")</f>
        <v>Глухая заклепка A4X16,7-ALMG2,5/ST-BK/A2</v>
      </c>
      <c r="C717" s="5" t="s">
        <v>6</v>
      </c>
      <c r="D717" s="6">
        <v>326.39999999999998</v>
      </c>
      <c r="E717" s="6">
        <v>81</v>
      </c>
      <c r="F717" s="9">
        <v>0.75</v>
      </c>
      <c r="H717" s="11"/>
      <c r="I717" s="11"/>
      <c r="J717" s="11"/>
    </row>
    <row r="718" spans="1:10" ht="15.75" x14ac:dyDescent="0.3">
      <c r="A718" s="12" t="str">
        <f>HYPERLINK("https://parts-sales.ru/parts/MAN/06242490060","06.24249-0060")</f>
        <v>06.24249-0060</v>
      </c>
      <c r="B718" s="12" t="str">
        <f>HYPERLINK("https://parts-sales.ru/parts/MAN/06242490060","Глухая заклепка A4X7,5-A2/A2-BK/BK")</f>
        <v>Глухая заклепка A4X7,5-A2/A2-BK/BK</v>
      </c>
      <c r="C718" s="3" t="s">
        <v>6</v>
      </c>
      <c r="D718" s="4">
        <v>429.6</v>
      </c>
      <c r="E718" s="4">
        <v>81</v>
      </c>
      <c r="F718" s="8">
        <v>0.81</v>
      </c>
      <c r="H718" s="11"/>
      <c r="I718" s="11"/>
      <c r="J718" s="11"/>
    </row>
    <row r="719" spans="1:10" ht="15.75" x14ac:dyDescent="0.3">
      <c r="A719" s="13" t="str">
        <f>HYPERLINK("https://parts-sales.ru/parts/MAN/06242500113","06.24250-0113")</f>
        <v>06.24250-0113</v>
      </c>
      <c r="B719" s="13" t="str">
        <f>HYPERLINK("https://parts-sales.ru/parts/MAN/06242500113","Глухая заклепка 3,2X10,7-A-13-ALMG5/ST")</f>
        <v>Глухая заклепка 3,2X10,7-A-13-ALMG5/ST</v>
      </c>
      <c r="C719" s="5" t="s">
        <v>6</v>
      </c>
      <c r="D719" s="6">
        <v>252</v>
      </c>
      <c r="E719" s="6">
        <v>53</v>
      </c>
      <c r="F719" s="9">
        <v>0.79</v>
      </c>
      <c r="H719" s="11"/>
      <c r="I719" s="11"/>
      <c r="J719" s="11"/>
    </row>
    <row r="720" spans="1:10" ht="15.75" x14ac:dyDescent="0.3">
      <c r="A720" s="12" t="str">
        <f>HYPERLINK("https://parts-sales.ru/parts/MAN/06271900151","06.27190-0151")</f>
        <v>06.27190-0151</v>
      </c>
      <c r="B720" s="12" t="str">
        <f>HYPERLINK("https://parts-sales.ru/parts/MAN/06271900151","Цепь из круглой арматур. стали G2X12-TZN")</f>
        <v>Цепь из круглой арматур. стали G2X12-TZN</v>
      </c>
      <c r="C720" s="3" t="s">
        <v>6</v>
      </c>
      <c r="D720" s="4">
        <v>2241.6</v>
      </c>
      <c r="E720" s="4">
        <v>203</v>
      </c>
      <c r="F720" s="8">
        <v>0.91</v>
      </c>
      <c r="H720" s="11"/>
      <c r="I720" s="11"/>
      <c r="J720" s="11"/>
    </row>
    <row r="721" spans="1:10" ht="15.75" x14ac:dyDescent="0.3">
      <c r="A721" s="13" t="str">
        <f>HYPERLINK("https://parts-sales.ru/parts/MAN/06273300209","06.27330-0209")</f>
        <v>06.27330-0209</v>
      </c>
      <c r="B721" s="13" t="str">
        <f>HYPERLINK("https://parts-sales.ru/parts/MAN/06273300209","Узелковая цепь 2-TZN350")</f>
        <v>Узелковая цепь 2-TZN350</v>
      </c>
      <c r="C721" s="5" t="s">
        <v>6</v>
      </c>
      <c r="D721" s="6">
        <v>1903.2</v>
      </c>
      <c r="E721" s="6">
        <v>409</v>
      </c>
      <c r="F721" s="9">
        <v>0.79</v>
      </c>
      <c r="H721" s="11"/>
      <c r="I721" s="11"/>
      <c r="J721" s="11"/>
    </row>
    <row r="722" spans="1:10" ht="15.75" x14ac:dyDescent="0.3">
      <c r="A722" s="12" t="str">
        <f>HYPERLINK("https://parts-sales.ru/parts/MAN/06290100114","06.29010-0114")</f>
        <v>06.29010-0114</v>
      </c>
      <c r="B722" s="12" t="str">
        <f>HYPERLINK("https://parts-sales.ru/parts/MAN/06290100114","Стопорное кольцо 17X1,00-ZNPHR5F")</f>
        <v>Стопорное кольцо 17X1,00-ZNPHR5F</v>
      </c>
      <c r="C722" s="3" t="s">
        <v>6</v>
      </c>
      <c r="D722" s="4">
        <v>480</v>
      </c>
      <c r="E722" s="4">
        <v>74</v>
      </c>
      <c r="F722" s="8">
        <v>0.85</v>
      </c>
      <c r="H722" s="11"/>
      <c r="I722" s="11"/>
      <c r="J722" s="11"/>
    </row>
    <row r="723" spans="1:10" ht="15.75" x14ac:dyDescent="0.3">
      <c r="A723" s="13" t="str">
        <f>HYPERLINK("https://parts-sales.ru/parts/MAN/06290100116","06.29010-0116")</f>
        <v>06.29010-0116</v>
      </c>
      <c r="B723" s="13" t="str">
        <f>HYPERLINK("https://parts-sales.ru/parts/MAN/06290100116","Стопорное кольцо 19X1,20-ZNPHR5F")</f>
        <v>Стопорное кольцо 19X1,20-ZNPHR5F</v>
      </c>
      <c r="C723" s="5" t="s">
        <v>6</v>
      </c>
      <c r="D723" s="6">
        <v>510</v>
      </c>
      <c r="E723" s="6">
        <v>105</v>
      </c>
      <c r="F723" s="9">
        <v>0.79</v>
      </c>
      <c r="H723" s="11"/>
      <c r="I723" s="11"/>
      <c r="J723" s="11"/>
    </row>
    <row r="724" spans="1:10" ht="15.75" x14ac:dyDescent="0.3">
      <c r="A724" s="12" t="str">
        <f>HYPERLINK("https://parts-sales.ru/parts/MAN/06290100126","06.29010-0126")</f>
        <v>06.29010-0126</v>
      </c>
      <c r="B724" s="12" t="str">
        <f>HYPERLINK("https://parts-sales.ru/parts/MAN/06290100126","Стопорное кольцо 32X1,50-ZNPHR5F")</f>
        <v>Стопорное кольцо 32X1,50-ZNPHR5F</v>
      </c>
      <c r="C724" s="3" t="s">
        <v>6</v>
      </c>
      <c r="D724" s="4">
        <v>636</v>
      </c>
      <c r="E724" s="4">
        <v>137</v>
      </c>
      <c r="F724" s="8">
        <v>0.78</v>
      </c>
      <c r="H724" s="11"/>
      <c r="I724" s="11"/>
      <c r="J724" s="11"/>
    </row>
    <row r="725" spans="1:10" ht="15.75" x14ac:dyDescent="0.3">
      <c r="A725" s="13" t="str">
        <f>HYPERLINK("https://parts-sales.ru/parts/MAN/06290100127","06.29010-0127")</f>
        <v>06.29010-0127</v>
      </c>
      <c r="B725" s="13" t="str">
        <f>HYPERLINK("https://parts-sales.ru/parts/MAN/06290100127","Стопорное кольцо 34X1,50-ZNPHR5F")</f>
        <v>Стопорное кольцо 34X1,50-ZNPHR5F</v>
      </c>
      <c r="C725" s="5" t="s">
        <v>6</v>
      </c>
      <c r="D725" s="6">
        <v>798.95</v>
      </c>
      <c r="E725" s="6">
        <v>480</v>
      </c>
      <c r="F725" s="9">
        <v>0.4</v>
      </c>
      <c r="H725" s="11"/>
      <c r="I725" s="11"/>
      <c r="J725" s="11"/>
    </row>
    <row r="726" spans="1:10" ht="15.75" x14ac:dyDescent="0.3">
      <c r="A726" s="12" t="str">
        <f>HYPERLINK("https://parts-sales.ru/parts/MAN/06290100217","06.29010-0217")</f>
        <v>06.29010-0217</v>
      </c>
      <c r="B726" s="12" t="str">
        <f>HYPERLINK("https://parts-sales.ru/parts/MAN/06290100217","Стопорное кольцо 110X4,00-ZNPHR5F")</f>
        <v>Стопорное кольцо 110X4,00-ZNPHR5F</v>
      </c>
      <c r="C726" s="3" t="s">
        <v>6</v>
      </c>
      <c r="D726" s="4">
        <v>4779.6000000000004</v>
      </c>
      <c r="E726" s="4">
        <v>906</v>
      </c>
      <c r="F726" s="8">
        <v>0.81</v>
      </c>
      <c r="H726" s="11"/>
      <c r="I726" s="11"/>
      <c r="J726" s="11"/>
    </row>
    <row r="727" spans="1:10" ht="15.75" x14ac:dyDescent="0.3">
      <c r="A727" s="13" t="str">
        <f>HYPERLINK("https://parts-sales.ru/parts/MAN/06290100430","06.29010-0430")</f>
        <v>06.29010-0430</v>
      </c>
      <c r="B727" s="13" t="str">
        <f>HYPERLINK("https://parts-sales.ru/parts/MAN/06290100430","Стопорное кольцо 50X3,00-ZNPHR5F")</f>
        <v>Стопорное кольцо 50X3,00-ZNPHR5F</v>
      </c>
      <c r="C727" s="5" t="s">
        <v>6</v>
      </c>
      <c r="D727" s="6">
        <v>1201.2</v>
      </c>
      <c r="E727" s="6">
        <v>152</v>
      </c>
      <c r="F727" s="9">
        <v>0.87</v>
      </c>
      <c r="H727" s="11"/>
      <c r="I727" s="11"/>
      <c r="J727" s="11"/>
    </row>
    <row r="728" spans="1:10" ht="15.75" x14ac:dyDescent="0.3">
      <c r="A728" s="12" t="str">
        <f>HYPERLINK("https://parts-sales.ru/parts/MAN/06290104427","06.29010-4427")</f>
        <v>06.29010-4427</v>
      </c>
      <c r="B728" s="12" t="str">
        <f>HYPERLINK("https://parts-sales.ru/parts/MAN/06290104427","Стопорное кольцо 42X2,50-A3C")</f>
        <v>Стопорное кольцо 42X2,50-A3C</v>
      </c>
      <c r="C728" s="3" t="s">
        <v>6</v>
      </c>
      <c r="D728" s="4">
        <v>612</v>
      </c>
      <c r="E728" s="4">
        <v>139</v>
      </c>
      <c r="F728" s="8">
        <v>0.77</v>
      </c>
      <c r="H728" s="11"/>
      <c r="I728" s="11"/>
      <c r="J728" s="11"/>
    </row>
    <row r="729" spans="1:10" ht="15.75" x14ac:dyDescent="0.3">
      <c r="A729" s="13" t="str">
        <f>HYPERLINK("https://parts-sales.ru/parts/MAN/06290190011","06.29019-0011")</f>
        <v>06.29019-0011</v>
      </c>
      <c r="B729" s="13" t="str">
        <f>HYPERLINK("https://parts-sales.ru/parts/MAN/06290190011","Пружинное стопорное кольцо 18,7X22,2X1,2")</f>
        <v>Пружинное стопорное кольцо 18,7X22,2X1,2</v>
      </c>
      <c r="C729" s="5" t="s">
        <v>6</v>
      </c>
      <c r="D729" s="6">
        <v>496.8</v>
      </c>
      <c r="E729" s="6">
        <v>139</v>
      </c>
      <c r="F729" s="9">
        <v>0.72</v>
      </c>
      <c r="H729" s="11"/>
      <c r="I729" s="11"/>
      <c r="J729" s="11"/>
    </row>
    <row r="730" spans="1:10" ht="15.75" x14ac:dyDescent="0.3">
      <c r="A730" s="12" t="str">
        <f>HYPERLINK("https://parts-sales.ru/parts/MAN/06290190108","06.29019-0108")</f>
        <v>06.29019-0108</v>
      </c>
      <c r="B730" s="12" t="str">
        <f>HYPERLINK("https://parts-sales.ru/parts/MAN/06290190108","Стопорное кольцо 50X2,80")</f>
        <v>Стопорное кольцо 50X2,80</v>
      </c>
      <c r="C730" s="3" t="s">
        <v>6</v>
      </c>
      <c r="D730" s="4">
        <v>1234.8</v>
      </c>
      <c r="E730" s="4">
        <v>414</v>
      </c>
      <c r="F730" s="8">
        <v>0.66</v>
      </c>
      <c r="H730" s="11"/>
      <c r="I730" s="11"/>
      <c r="J730" s="11"/>
    </row>
    <row r="731" spans="1:10" ht="15.75" x14ac:dyDescent="0.3">
      <c r="A731" s="13" t="str">
        <f>HYPERLINK("https://parts-sales.ru/parts/MAN/06290190109","06.29019-0109")</f>
        <v>06.29019-0109</v>
      </c>
      <c r="B731" s="13" t="str">
        <f>HYPERLINK("https://parts-sales.ru/parts/MAN/06290190109","Стопорное кольцо 50X2,90")</f>
        <v>Стопорное кольцо 50X2,90</v>
      </c>
      <c r="C731" s="5" t="s">
        <v>6</v>
      </c>
      <c r="D731" s="6">
        <v>1635.6</v>
      </c>
      <c r="E731" s="6">
        <v>334</v>
      </c>
      <c r="F731" s="9">
        <v>0.8</v>
      </c>
      <c r="H731" s="11"/>
      <c r="I731" s="11"/>
      <c r="J731" s="11"/>
    </row>
    <row r="732" spans="1:10" ht="15.75" x14ac:dyDescent="0.3">
      <c r="A732" s="12" t="str">
        <f>HYPERLINK("https://parts-sales.ru/parts/MAN/06290190114","06.29019-0114")</f>
        <v>06.29019-0114</v>
      </c>
      <c r="B732" s="12" t="str">
        <f>HYPERLINK("https://parts-sales.ru/parts/MAN/06290190114","Стопорное кольцо 50X2,10")</f>
        <v>Стопорное кольцо 50X2,10</v>
      </c>
      <c r="C732" s="3" t="s">
        <v>6</v>
      </c>
      <c r="D732" s="4">
        <v>970.8</v>
      </c>
      <c r="E732" s="4">
        <v>286</v>
      </c>
      <c r="F732" s="8">
        <v>0.71</v>
      </c>
      <c r="H732" s="11"/>
      <c r="I732" s="11"/>
      <c r="J732" s="11"/>
    </row>
    <row r="733" spans="1:10" ht="15.75" x14ac:dyDescent="0.3">
      <c r="A733" s="13" t="str">
        <f>HYPERLINK("https://parts-sales.ru/parts/MAN/06290190127","06.29019-0127")</f>
        <v>06.29019-0127</v>
      </c>
      <c r="B733" s="13" t="str">
        <f>HYPERLINK("https://parts-sales.ru/parts/MAN/06290190127","Стопорное кольцо 72X2,40")</f>
        <v>Стопорное кольцо 72X2,40</v>
      </c>
      <c r="C733" s="5" t="s">
        <v>6</v>
      </c>
      <c r="D733" s="6">
        <v>1039.2</v>
      </c>
      <c r="E733" s="6">
        <v>103</v>
      </c>
      <c r="F733" s="9">
        <v>0.9</v>
      </c>
      <c r="H733" s="11"/>
      <c r="I733" s="11"/>
      <c r="J733" s="11"/>
    </row>
    <row r="734" spans="1:10" ht="15.75" x14ac:dyDescent="0.3">
      <c r="A734" s="12" t="str">
        <f>HYPERLINK("https://parts-sales.ru/parts/MAN/06290190220","06.29019-0220")</f>
        <v>06.29019-0220</v>
      </c>
      <c r="B734" s="12" t="str">
        <f>HYPERLINK("https://parts-sales.ru/parts/MAN/06290190220","Стопорное кольцо 50X2,35")</f>
        <v>Стопорное кольцо 50X2,35</v>
      </c>
      <c r="C734" s="3" t="s">
        <v>6</v>
      </c>
      <c r="D734" s="4">
        <v>699.6</v>
      </c>
      <c r="E734" s="4">
        <v>79</v>
      </c>
      <c r="F734" s="8">
        <v>0.89</v>
      </c>
      <c r="H734" s="11"/>
      <c r="I734" s="11"/>
      <c r="J734" s="11"/>
    </row>
    <row r="735" spans="1:10" ht="15.75" x14ac:dyDescent="0.3">
      <c r="A735" s="13" t="str">
        <f>HYPERLINK("https://parts-sales.ru/parts/MAN/06290190222","06.29019-0222")</f>
        <v>06.29019-0222</v>
      </c>
      <c r="B735" s="13" t="str">
        <f>HYPERLINK("https://parts-sales.ru/parts/MAN/06290190222","Стопорное кольцо 50X2,55")</f>
        <v>Стопорное кольцо 50X2,55</v>
      </c>
      <c r="C735" s="5" t="s">
        <v>6</v>
      </c>
      <c r="D735" s="6">
        <v>1353.6</v>
      </c>
      <c r="E735" s="6">
        <v>251</v>
      </c>
      <c r="F735" s="9">
        <v>0.81</v>
      </c>
      <c r="H735" s="11"/>
      <c r="I735" s="11"/>
      <c r="J735" s="11"/>
    </row>
    <row r="736" spans="1:10" ht="15.75" x14ac:dyDescent="0.3">
      <c r="A736" s="12" t="str">
        <f>HYPERLINK("https://parts-sales.ru/parts/MAN/06290190223","06.29019-0223")</f>
        <v>06.29019-0223</v>
      </c>
      <c r="B736" s="12" t="str">
        <f>HYPERLINK("https://parts-sales.ru/parts/MAN/06290190223","Стопорное кольцо 50X2,65")</f>
        <v>Стопорное кольцо 50X2,65</v>
      </c>
      <c r="C736" s="3" t="s">
        <v>6</v>
      </c>
      <c r="D736" s="4">
        <v>1046.4000000000001</v>
      </c>
      <c r="E736" s="4">
        <v>331</v>
      </c>
      <c r="F736" s="8">
        <v>0.68</v>
      </c>
      <c r="H736" s="11"/>
      <c r="I736" s="11"/>
      <c r="J736" s="11"/>
    </row>
    <row r="737" spans="1:10" ht="15.75" x14ac:dyDescent="0.3">
      <c r="A737" s="13" t="str">
        <f>HYPERLINK("https://parts-sales.ru/parts/MAN/06290190225","06.29019-0225")</f>
        <v>06.29019-0225</v>
      </c>
      <c r="B737" s="13" t="str">
        <f>HYPERLINK("https://parts-sales.ru/parts/MAN/06290190225","Стопорное кольцо 50X2,85")</f>
        <v>Стопорное кольцо 50X2,85</v>
      </c>
      <c r="C737" s="5" t="s">
        <v>6</v>
      </c>
      <c r="D737" s="6">
        <v>1879.2</v>
      </c>
      <c r="E737" s="6">
        <v>383</v>
      </c>
      <c r="F737" s="9">
        <v>0.8</v>
      </c>
      <c r="H737" s="11"/>
      <c r="I737" s="11"/>
      <c r="J737" s="11"/>
    </row>
    <row r="738" spans="1:10" ht="15.75" x14ac:dyDescent="0.3">
      <c r="A738" s="12" t="str">
        <f>HYPERLINK("https://parts-sales.ru/parts/MAN/06290190234","06.29019-0234")</f>
        <v>06.29019-0234</v>
      </c>
      <c r="B738" s="12" t="str">
        <f>HYPERLINK("https://parts-sales.ru/parts/MAN/06290190234","Стопорное кольцо 58X2,30")</f>
        <v>Стопорное кольцо 58X2,30</v>
      </c>
      <c r="C738" s="3" t="s">
        <v>6</v>
      </c>
      <c r="D738" s="4">
        <v>2043.6</v>
      </c>
      <c r="E738" s="4">
        <v>192</v>
      </c>
      <c r="F738" s="8">
        <v>0.91</v>
      </c>
      <c r="H738" s="11"/>
      <c r="I738" s="11"/>
      <c r="J738" s="11"/>
    </row>
    <row r="739" spans="1:10" ht="15.75" x14ac:dyDescent="0.3">
      <c r="A739" s="13" t="str">
        <f>HYPERLINK("https://parts-sales.ru/parts/MAN/06290190235","06.29019-0235")</f>
        <v>06.29019-0235</v>
      </c>
      <c r="B739" s="13" t="str">
        <f>HYPERLINK("https://parts-sales.ru/parts/MAN/06290190235","Стопорное кольцо 58X2,40")</f>
        <v>Стопорное кольцо 58X2,40</v>
      </c>
      <c r="C739" s="5" t="s">
        <v>6</v>
      </c>
      <c r="D739" s="6">
        <v>2122.8000000000002</v>
      </c>
      <c r="E739" s="6">
        <v>297</v>
      </c>
      <c r="F739" s="9">
        <v>0.86</v>
      </c>
      <c r="H739" s="11"/>
      <c r="I739" s="11"/>
      <c r="J739" s="11"/>
    </row>
    <row r="740" spans="1:10" ht="15.75" x14ac:dyDescent="0.3">
      <c r="A740" s="12" t="str">
        <f>HYPERLINK("https://parts-sales.ru/parts/MAN/06290190245","06.29019-0245")</f>
        <v>06.29019-0245</v>
      </c>
      <c r="B740" s="12" t="str">
        <f>HYPERLINK("https://parts-sales.ru/parts/MAN/06290190245","Стопорное кольцо 80X3,05")</f>
        <v>Стопорное кольцо 80X3,05</v>
      </c>
      <c r="C740" s="3" t="s">
        <v>6</v>
      </c>
      <c r="D740" s="4">
        <v>4207.2</v>
      </c>
      <c r="E740" s="4">
        <v>961</v>
      </c>
      <c r="F740" s="8">
        <v>0.77</v>
      </c>
      <c r="H740" s="11"/>
      <c r="I740" s="11"/>
      <c r="J740" s="11"/>
    </row>
    <row r="741" spans="1:10" ht="15.75" x14ac:dyDescent="0.3">
      <c r="A741" s="13" t="str">
        <f>HYPERLINK("https://parts-sales.ru/parts/MAN/06290190250","06.29019-0250")</f>
        <v>06.29019-0250</v>
      </c>
      <c r="B741" s="13" t="str">
        <f>HYPERLINK("https://parts-sales.ru/parts/MAN/06290190250","Стопорное кольцо 80X3,30")</f>
        <v>Стопорное кольцо 80X3,30</v>
      </c>
      <c r="C741" s="5" t="s">
        <v>6</v>
      </c>
      <c r="D741" s="6">
        <v>2952</v>
      </c>
      <c r="E741" s="6">
        <v>486</v>
      </c>
      <c r="F741" s="9">
        <v>0.84</v>
      </c>
      <c r="H741" s="11"/>
      <c r="I741" s="11"/>
      <c r="J741" s="11"/>
    </row>
    <row r="742" spans="1:10" ht="15.75" x14ac:dyDescent="0.3">
      <c r="A742" s="12" t="str">
        <f>HYPERLINK("https://parts-sales.ru/parts/MAN/06290190252","06.29019-0252")</f>
        <v>06.29019-0252</v>
      </c>
      <c r="B742" s="12" t="str">
        <f>HYPERLINK("https://parts-sales.ru/parts/MAN/06290190252","Стопорное кольцо 80X3,40")</f>
        <v>Стопорное кольцо 80X3,40</v>
      </c>
      <c r="C742" s="3" t="s">
        <v>6</v>
      </c>
      <c r="D742" s="4">
        <v>2629.2</v>
      </c>
      <c r="E742" s="4">
        <v>922</v>
      </c>
      <c r="F742" s="8">
        <v>0.65</v>
      </c>
      <c r="H742" s="11"/>
      <c r="I742" s="11"/>
      <c r="J742" s="11"/>
    </row>
    <row r="743" spans="1:10" ht="15.75" x14ac:dyDescent="0.3">
      <c r="A743" s="13" t="str">
        <f>HYPERLINK("https://parts-sales.ru/parts/MAN/06290190254","06.29019-0254")</f>
        <v>06.29019-0254</v>
      </c>
      <c r="B743" s="13" t="str">
        <f>HYPERLINK("https://parts-sales.ru/parts/MAN/06290190254","Стопорное кольцо 80X3,50")</f>
        <v>Стопорное кольцо 80X3,50</v>
      </c>
      <c r="C743" s="5" t="s">
        <v>6</v>
      </c>
      <c r="D743" s="6">
        <v>1934.4</v>
      </c>
      <c r="E743" s="6">
        <v>871</v>
      </c>
      <c r="F743" s="9">
        <v>0.55000000000000004</v>
      </c>
      <c r="H743" s="11"/>
      <c r="I743" s="11"/>
      <c r="J743" s="11"/>
    </row>
    <row r="744" spans="1:10" ht="15.75" x14ac:dyDescent="0.3">
      <c r="A744" s="12" t="str">
        <f>HYPERLINK("https://parts-sales.ru/parts/MAN/06290190306","06.29019-0306")</f>
        <v>06.29019-0306</v>
      </c>
      <c r="B744" s="12" t="str">
        <f>HYPERLINK("https://parts-sales.ru/parts/MAN/06290190306","Стопорное кольцо 72X1,90")</f>
        <v>Стопорное кольцо 72X1,90</v>
      </c>
      <c r="C744" s="3" t="s">
        <v>6</v>
      </c>
      <c r="D744" s="4">
        <v>2002.8</v>
      </c>
      <c r="E744" s="4">
        <v>464</v>
      </c>
      <c r="F744" s="8">
        <v>0.77</v>
      </c>
      <c r="H744" s="11"/>
      <c r="I744" s="11"/>
      <c r="J744" s="11"/>
    </row>
    <row r="745" spans="1:10" ht="15.75" x14ac:dyDescent="0.3">
      <c r="A745" s="13" t="str">
        <f>HYPERLINK("https://parts-sales.ru/parts/MAN/06290190309","06.29019-0309")</f>
        <v>06.29019-0309</v>
      </c>
      <c r="B745" s="13" t="str">
        <f>HYPERLINK("https://parts-sales.ru/parts/MAN/06290190309","Стопорное кольцо 72X2,20")</f>
        <v>Стопорное кольцо 72X2,20</v>
      </c>
      <c r="C745" s="5" t="s">
        <v>6</v>
      </c>
      <c r="D745" s="6">
        <v>1502.4</v>
      </c>
      <c r="E745" s="6">
        <v>174</v>
      </c>
      <c r="F745" s="9">
        <v>0.88</v>
      </c>
      <c r="H745" s="11"/>
      <c r="I745" s="11"/>
      <c r="J745" s="11"/>
    </row>
    <row r="746" spans="1:10" ht="15.75" x14ac:dyDescent="0.3">
      <c r="A746" s="12" t="str">
        <f>HYPERLINK("https://parts-sales.ru/parts/MAN/06290190337","06.29019-0337")</f>
        <v>06.29019-0337</v>
      </c>
      <c r="B746" s="12" t="str">
        <f>HYPERLINK("https://parts-sales.ru/parts/MAN/06290190337","Стопорное кольцо 22X1,20-MAN183-B1")</f>
        <v>Стопорное кольцо 22X1,20-MAN183-B1</v>
      </c>
      <c r="C746" s="3" t="s">
        <v>6</v>
      </c>
      <c r="D746" s="4">
        <v>447.6</v>
      </c>
      <c r="E746" s="4">
        <v>6</v>
      </c>
      <c r="F746" s="8">
        <v>0.99</v>
      </c>
      <c r="H746" s="11"/>
      <c r="I746" s="11"/>
      <c r="J746" s="11"/>
    </row>
    <row r="747" spans="1:10" ht="15.75" x14ac:dyDescent="0.3">
      <c r="A747" s="13" t="str">
        <f>HYPERLINK("https://parts-sales.ru/parts/MAN/06290190338","06.29019-0338")</f>
        <v>06.29019-0338</v>
      </c>
      <c r="B747" s="13" t="str">
        <f>HYPERLINK("https://parts-sales.ru/parts/MAN/06290190338","Стопорное кольцо 25X1,20-MAN183-B1")</f>
        <v>Стопорное кольцо 25X1,20-MAN183-B1</v>
      </c>
      <c r="C747" s="5" t="s">
        <v>6</v>
      </c>
      <c r="D747" s="6">
        <v>510</v>
      </c>
      <c r="E747" s="6">
        <v>108</v>
      </c>
      <c r="F747" s="9">
        <v>0.79</v>
      </c>
      <c r="H747" s="11"/>
      <c r="I747" s="11"/>
      <c r="J747" s="11"/>
    </row>
    <row r="748" spans="1:10" ht="15.75" x14ac:dyDescent="0.3">
      <c r="A748" s="12" t="str">
        <f>HYPERLINK("https://parts-sales.ru/parts/MAN/06290190391","06.29019-0391")</f>
        <v>06.29019-0391</v>
      </c>
      <c r="B748" s="12" t="str">
        <f>HYPERLINK("https://parts-sales.ru/parts/MAN/06290190391","Стопорное кольцо 80X3,55")</f>
        <v>Стопорное кольцо 80X3,55</v>
      </c>
      <c r="C748" s="3" t="s">
        <v>6</v>
      </c>
      <c r="D748" s="4">
        <v>1794</v>
      </c>
      <c r="E748" s="4">
        <v>388</v>
      </c>
      <c r="F748" s="8">
        <v>0.78</v>
      </c>
      <c r="H748" s="11"/>
      <c r="I748" s="11"/>
      <c r="J748" s="11"/>
    </row>
    <row r="749" spans="1:10" ht="15.75" x14ac:dyDescent="0.3">
      <c r="A749" s="13" t="str">
        <f>HYPERLINK("https://parts-sales.ru/parts/MAN/06290200126","06.29020-0126")</f>
        <v>06.29020-0126</v>
      </c>
      <c r="B749" s="13" t="str">
        <f>HYPERLINK("https://parts-sales.ru/parts/MAN/06290200126","Стопорное кольцо 42X1,75-ZNPHR5F")</f>
        <v>Стопорное кольцо 42X1,75-ZNPHR5F</v>
      </c>
      <c r="C749" s="5" t="s">
        <v>6</v>
      </c>
      <c r="D749" s="6">
        <v>675.6</v>
      </c>
      <c r="E749" s="6">
        <v>154</v>
      </c>
      <c r="F749" s="9">
        <v>0.77</v>
      </c>
      <c r="H749" s="11"/>
      <c r="I749" s="11"/>
      <c r="J749" s="11"/>
    </row>
    <row r="750" spans="1:10" ht="15.75" x14ac:dyDescent="0.3">
      <c r="A750" s="12" t="str">
        <f>HYPERLINK("https://parts-sales.ru/parts/MAN/06290200128","06.29020-0128")</f>
        <v>06.29020-0128</v>
      </c>
      <c r="B750" s="12" t="str">
        <f>HYPERLINK("https://parts-sales.ru/parts/MAN/06290200128","Стопорное кольцо 47X1,75-ZNPHR5F")</f>
        <v>Стопорное кольцо 47X1,75-ZNPHR5F</v>
      </c>
      <c r="C750" s="3" t="s">
        <v>6</v>
      </c>
      <c r="D750" s="4">
        <v>800.4</v>
      </c>
      <c r="E750" s="4">
        <v>185</v>
      </c>
      <c r="F750" s="8">
        <v>0.77</v>
      </c>
      <c r="H750" s="11"/>
      <c r="I750" s="11"/>
      <c r="J750" s="11"/>
    </row>
    <row r="751" spans="1:10" ht="15.75" x14ac:dyDescent="0.3">
      <c r="A751" s="13" t="str">
        <f>HYPERLINK("https://parts-sales.ru/parts/MAN/06290200139","06.29020-0139")</f>
        <v>06.29020-0139</v>
      </c>
      <c r="B751" s="13" t="str">
        <f>HYPERLINK("https://parts-sales.ru/parts/MAN/06290200139","Стопорное кольцо 68X2,50-ZNPHR5F")</f>
        <v>Стопорное кольцо 68X2,50-ZNPHR5F</v>
      </c>
      <c r="C751" s="5" t="s">
        <v>6</v>
      </c>
      <c r="D751" s="6">
        <v>1014</v>
      </c>
      <c r="E751" s="6">
        <v>325</v>
      </c>
      <c r="F751" s="9">
        <v>0.68</v>
      </c>
      <c r="H751" s="11"/>
      <c r="I751" s="11"/>
      <c r="J751" s="11"/>
    </row>
    <row r="752" spans="1:10" ht="15.75" x14ac:dyDescent="0.3">
      <c r="A752" s="12" t="str">
        <f>HYPERLINK("https://parts-sales.ru/parts/MAN/06290200202","06.29020-0202")</f>
        <v>06.29020-0202</v>
      </c>
      <c r="B752" s="12" t="str">
        <f>HYPERLINK("https://parts-sales.ru/parts/MAN/06290200202","Стопорное кольцо 75X2,50-ZNPHR5F")</f>
        <v>Стопорное кольцо 75X2,50-ZNPHR5F</v>
      </c>
      <c r="C752" s="3" t="s">
        <v>6</v>
      </c>
      <c r="D752" s="4">
        <v>2208</v>
      </c>
      <c r="E752" s="4">
        <v>538</v>
      </c>
      <c r="F752" s="8">
        <v>0.76</v>
      </c>
      <c r="H752" s="11"/>
      <c r="I752" s="11"/>
      <c r="J752" s="11"/>
    </row>
    <row r="753" spans="1:10" ht="15.75" x14ac:dyDescent="0.3">
      <c r="A753" s="13" t="str">
        <f>HYPERLINK("https://parts-sales.ru/parts/MAN/06290200227","06.29020-0227")</f>
        <v>06.29020-0227</v>
      </c>
      <c r="B753" s="13" t="str">
        <f>HYPERLINK("https://parts-sales.ru/parts/MAN/06290200227","Стопорное кольцо 160X4,00-ZNPHR5F")</f>
        <v>Стопорное кольцо 160X4,00-ZNPHR5F</v>
      </c>
      <c r="C753" s="5" t="s">
        <v>6</v>
      </c>
      <c r="D753" s="6">
        <v>2642.4</v>
      </c>
      <c r="E753" s="6">
        <v>772</v>
      </c>
      <c r="F753" s="9">
        <v>0.71</v>
      </c>
      <c r="H753" s="11"/>
      <c r="I753" s="11"/>
      <c r="J753" s="11"/>
    </row>
    <row r="754" spans="1:10" ht="15.75" x14ac:dyDescent="0.3">
      <c r="A754" s="12" t="str">
        <f>HYPERLINK("https://parts-sales.ru/parts/MAN/06290290005","06.29029-0005")</f>
        <v>06.29029-0005</v>
      </c>
      <c r="B754" s="12" t="str">
        <f>HYPERLINK("https://parts-sales.ru/parts/MAN/06290290005","Стопорное кольцо 62X2,00V")</f>
        <v>Стопорное кольцо 62X2,00V</v>
      </c>
      <c r="C754" s="3" t="s">
        <v>6</v>
      </c>
      <c r="D754" s="4">
        <v>778.8</v>
      </c>
      <c r="E754" s="4">
        <v>124</v>
      </c>
      <c r="F754" s="8">
        <v>0.84</v>
      </c>
      <c r="H754" s="11"/>
      <c r="I754" s="11"/>
      <c r="J754" s="11"/>
    </row>
    <row r="755" spans="1:10" ht="15.75" x14ac:dyDescent="0.3">
      <c r="A755" s="13" t="str">
        <f>HYPERLINK("https://parts-sales.ru/parts/MAN/06290290206","06.29029-0206")</f>
        <v>06.29029-0206</v>
      </c>
      <c r="B755" s="13" t="str">
        <f>HYPERLINK("https://parts-sales.ru/parts/MAN/06290290206","Стопорное кольцо 105X4,00-ZNPHR5F")</f>
        <v>Стопорное кольцо 105X4,00-ZNPHR5F</v>
      </c>
      <c r="C755" s="5" t="s">
        <v>6</v>
      </c>
      <c r="D755" s="6">
        <v>1692</v>
      </c>
      <c r="E755" s="6">
        <v>417</v>
      </c>
      <c r="F755" s="9">
        <v>0.75</v>
      </c>
      <c r="H755" s="11"/>
      <c r="I755" s="11"/>
      <c r="J755" s="11"/>
    </row>
    <row r="756" spans="1:10" ht="15.75" x14ac:dyDescent="0.3">
      <c r="A756" s="12" t="str">
        <f>HYPERLINK("https://parts-sales.ru/parts/MAN/06290500116","06.29050-0116")</f>
        <v>06.29050-0116</v>
      </c>
      <c r="B756" s="12" t="str">
        <f>HYPERLINK("https://parts-sales.ru/parts/MAN/06290500116","Стопорная шайба 19-ZNPHR3F")</f>
        <v>Стопорная шайба 19-ZNPHR3F</v>
      </c>
      <c r="C756" s="3" t="s">
        <v>6</v>
      </c>
      <c r="D756" s="4">
        <v>662.4</v>
      </c>
      <c r="E756" s="4">
        <v>113</v>
      </c>
      <c r="F756" s="8">
        <v>0.83</v>
      </c>
      <c r="H756" s="11"/>
      <c r="I756" s="11"/>
      <c r="J756" s="11"/>
    </row>
    <row r="757" spans="1:10" ht="15.75" x14ac:dyDescent="0.3">
      <c r="A757" s="13" t="str">
        <f>HYPERLINK("https://parts-sales.ru/parts/MAN/06291600227","06.29160-0227")</f>
        <v>06.29160-0227</v>
      </c>
      <c r="B757" s="13" t="str">
        <f>HYPERLINK("https://parts-sales.ru/parts/MAN/06291600227","Пружинное стопорное кольцо A60")</f>
        <v>Пружинное стопорное кольцо A60</v>
      </c>
      <c r="C757" s="5" t="s">
        <v>6</v>
      </c>
      <c r="D757" s="6">
        <v>500.4</v>
      </c>
      <c r="E757" s="6">
        <v>81</v>
      </c>
      <c r="F757" s="9">
        <v>0.84</v>
      </c>
      <c r="H757" s="11"/>
      <c r="I757" s="11"/>
      <c r="J757" s="11"/>
    </row>
    <row r="758" spans="1:10" ht="15.75" x14ac:dyDescent="0.3">
      <c r="A758" s="12" t="str">
        <f>HYPERLINK("https://parts-sales.ru/parts/MAN/06292090006","06.29209-0006")</f>
        <v>06.29209-0006</v>
      </c>
      <c r="B758" s="12" t="str">
        <f>HYPERLINK("https://parts-sales.ru/parts/MAN/06292090006","Стопорное кольцо 75X2,50W")</f>
        <v>Стопорное кольцо 75X2,50W</v>
      </c>
      <c r="C758" s="3" t="s">
        <v>6</v>
      </c>
      <c r="D758" s="4">
        <v>1948.8</v>
      </c>
      <c r="E758" s="4">
        <v>354</v>
      </c>
      <c r="F758" s="8">
        <v>0.82</v>
      </c>
      <c r="H758" s="11"/>
      <c r="I758" s="11"/>
      <c r="J758" s="11"/>
    </row>
    <row r="759" spans="1:10" ht="15.75" x14ac:dyDescent="0.3">
      <c r="A759" s="13" t="str">
        <f>HYPERLINK("https://parts-sales.ru/parts/MAN/06314114902","06.31411-4902")</f>
        <v>06.31411-4902</v>
      </c>
      <c r="B759" s="13" t="str">
        <f>HYPERLINK("https://parts-sales.ru/parts/MAN/06314114902","Радиальный шарикоподшипник 6009-JC3")</f>
        <v>Радиальный шарикоподшипник 6009-JC3</v>
      </c>
      <c r="C759" s="5" t="s">
        <v>7</v>
      </c>
      <c r="D759" s="6">
        <v>6141.6</v>
      </c>
      <c r="E759" s="6">
        <v>1936</v>
      </c>
      <c r="F759" s="9">
        <v>0.68</v>
      </c>
      <c r="H759" s="11"/>
      <c r="I759" s="11"/>
      <c r="J759" s="11"/>
    </row>
    <row r="760" spans="1:10" ht="15.75" x14ac:dyDescent="0.3">
      <c r="A760" s="12" t="str">
        <f>HYPERLINK("https://parts-sales.ru/parts/MAN/06314290125","06.31429-0125")</f>
        <v>06.31429-0125</v>
      </c>
      <c r="B760" s="12" t="str">
        <f>HYPERLINK("https://parts-sales.ru/parts/MAN/06314290125","Радиальный шарикоподшипник 6217-C3")</f>
        <v>Радиальный шарикоподшипник 6217-C3</v>
      </c>
      <c r="C760" s="3" t="s">
        <v>7</v>
      </c>
      <c r="D760" s="4">
        <v>28297.200000000001</v>
      </c>
      <c r="E760" s="4">
        <v>9308</v>
      </c>
      <c r="F760" s="8">
        <v>0.67</v>
      </c>
      <c r="H760" s="11"/>
      <c r="I760" s="11"/>
      <c r="J760" s="11"/>
    </row>
    <row r="761" spans="1:10" ht="15.75" x14ac:dyDescent="0.3">
      <c r="A761" s="13" t="str">
        <f>HYPERLINK("https://parts-sales.ru/parts/MAN/06314290126","06.31429-0126")</f>
        <v>06.31429-0126</v>
      </c>
      <c r="B761" s="13" t="str">
        <f>HYPERLINK("https://parts-sales.ru/parts/MAN/06314290126","Радиальный шарикоподшипник 6218-JC3")</f>
        <v>Радиальный шарикоподшипник 6218-JC3</v>
      </c>
      <c r="C761" s="5" t="s">
        <v>7</v>
      </c>
      <c r="D761" s="6">
        <v>60525.599999999999</v>
      </c>
      <c r="E761" s="6">
        <v>13954</v>
      </c>
      <c r="F761" s="9">
        <v>0.77</v>
      </c>
      <c r="H761" s="11"/>
      <c r="I761" s="11"/>
      <c r="J761" s="11"/>
    </row>
    <row r="762" spans="1:10" ht="15.75" x14ac:dyDescent="0.3">
      <c r="A762" s="12" t="str">
        <f>HYPERLINK("https://parts-sales.ru/parts/MAN/06314290129","06.31429-0129")</f>
        <v>06.31429-0129</v>
      </c>
      <c r="B762" s="12" t="str">
        <f>HYPERLINK("https://parts-sales.ru/parts/MAN/06314290129","Радиальный шарикоподшипник 80X140X26")</f>
        <v>Радиальный шарикоподшипник 80X140X26</v>
      </c>
      <c r="C762" s="3" t="s">
        <v>7</v>
      </c>
      <c r="D762" s="4">
        <v>57433.2</v>
      </c>
      <c r="E762" s="4">
        <v>11929</v>
      </c>
      <c r="F762" s="8">
        <v>0.79</v>
      </c>
      <c r="H762" s="11"/>
      <c r="I762" s="11"/>
      <c r="J762" s="11"/>
    </row>
    <row r="763" spans="1:10" ht="15.75" x14ac:dyDescent="0.3">
      <c r="A763" s="13" t="str">
        <f>HYPERLINK("https://parts-sales.ru/parts/MAN/06316490006","06.31649-0006")</f>
        <v>06.31649-0006</v>
      </c>
      <c r="B763" s="13" t="str">
        <f>HYPERLINK("https://parts-sales.ru/parts/MAN/06316490006","Шарик 6,350G20P2")</f>
        <v>Шарик 6,350G20P2</v>
      </c>
      <c r="C763" s="5" t="s">
        <v>6</v>
      </c>
      <c r="D763" s="6">
        <v>92.4</v>
      </c>
      <c r="E763" s="6">
        <v>32</v>
      </c>
      <c r="F763" s="9">
        <v>0.65</v>
      </c>
      <c r="H763" s="11"/>
      <c r="I763" s="11"/>
      <c r="J763" s="11"/>
    </row>
    <row r="764" spans="1:10" ht="15.75" x14ac:dyDescent="0.3">
      <c r="A764" s="12" t="str">
        <f>HYPERLINK("https://parts-sales.ru/parts/MAN/06324890009","06.32489-0009")</f>
        <v>06.32489-0009</v>
      </c>
      <c r="B764" s="12" t="str">
        <f>HYPERLINK("https://parts-sales.ru/parts/MAN/06324890009","Конич. роликовый подшипник 106X160X35")</f>
        <v>Конич. роликовый подшипник 106X160X35</v>
      </c>
      <c r="C764" s="3" t="s">
        <v>7</v>
      </c>
      <c r="D764" s="4">
        <v>34322.400000000001</v>
      </c>
      <c r="E764" s="4">
        <v>10599</v>
      </c>
      <c r="F764" s="8">
        <v>0.69</v>
      </c>
      <c r="H764" s="11"/>
      <c r="I764" s="11"/>
      <c r="J764" s="11"/>
    </row>
    <row r="765" spans="1:10" ht="15.75" x14ac:dyDescent="0.3">
      <c r="A765" s="13" t="str">
        <f>HYPERLINK("https://parts-sales.ru/parts/MAN/06324890019","06.32489-0019")</f>
        <v>06.32489-0019</v>
      </c>
      <c r="B765" s="13" t="str">
        <f>HYPERLINK("https://parts-sales.ru/parts/MAN/06324890019","Конич. роликовый подшипник 30215-XL-H130")</f>
        <v>Конич. роликовый подшипник 30215-XL-H130</v>
      </c>
      <c r="C765" s="5" t="s">
        <v>7</v>
      </c>
      <c r="D765" s="6">
        <v>25940.400000000001</v>
      </c>
      <c r="E765" s="6">
        <v>5348</v>
      </c>
      <c r="F765" s="9">
        <v>0.79</v>
      </c>
      <c r="H765" s="11"/>
      <c r="I765" s="11"/>
      <c r="J765" s="11"/>
    </row>
    <row r="766" spans="1:10" ht="15.75" x14ac:dyDescent="0.3">
      <c r="A766" s="12" t="str">
        <f>HYPERLINK("https://parts-sales.ru/parts/MAN/06324890078","06.32489-0078")</f>
        <v>06.32489-0078</v>
      </c>
      <c r="B766" s="12" t="str">
        <f>HYPERLINK("https://parts-sales.ru/parts/MAN/06324890078","Конич. роликовый подшипник 32016-X")</f>
        <v>Конич. роликовый подшипник 32016-X</v>
      </c>
      <c r="C766" s="3" t="s">
        <v>7</v>
      </c>
      <c r="D766" s="4">
        <v>30541.200000000001</v>
      </c>
      <c r="E766" s="4">
        <v>8153</v>
      </c>
      <c r="F766" s="8">
        <v>0.73</v>
      </c>
      <c r="H766" s="11"/>
      <c r="I766" s="11"/>
      <c r="J766" s="11"/>
    </row>
    <row r="767" spans="1:10" ht="15.75" x14ac:dyDescent="0.3">
      <c r="A767" s="13" t="str">
        <f>HYPERLINK("https://parts-sales.ru/parts/MAN/06324990006","06.32499-0006")</f>
        <v>06.32499-0006</v>
      </c>
      <c r="B767" s="13" t="str">
        <f>HYPERLINK("https://parts-sales.ru/parts/MAN/06324990006","Конич. роликовый подшипник 32216-XL-H130")</f>
        <v>Конич. роликовый подшипник 32216-XL-H130</v>
      </c>
      <c r="C767" s="5" t="s">
        <v>7</v>
      </c>
      <c r="D767" s="6">
        <v>29455.200000000001</v>
      </c>
      <c r="E767" s="6">
        <v>6964</v>
      </c>
      <c r="F767" s="9">
        <v>0.76</v>
      </c>
      <c r="H767" s="11"/>
      <c r="I767" s="11"/>
      <c r="J767" s="11"/>
    </row>
    <row r="768" spans="1:10" ht="15.75" x14ac:dyDescent="0.3">
      <c r="A768" s="12" t="str">
        <f>HYPERLINK("https://parts-sales.ru/parts/MAN/06324990067","06.32499-0067")</f>
        <v>06.32499-0067</v>
      </c>
      <c r="B768" s="12" t="str">
        <f>HYPERLINK("https://parts-sales.ru/parts/MAN/06324990067","Конич. роликовый подшипник 32209-A")</f>
        <v>Конич. роликовый подшипник 32209-A</v>
      </c>
      <c r="C768" s="3" t="s">
        <v>7</v>
      </c>
      <c r="D768" s="4">
        <v>19681.2</v>
      </c>
      <c r="E768" s="4">
        <v>3871</v>
      </c>
      <c r="F768" s="8">
        <v>0.8</v>
      </c>
      <c r="H768" s="11"/>
      <c r="I768" s="11"/>
      <c r="J768" s="11"/>
    </row>
    <row r="769" spans="1:10" ht="15.75" x14ac:dyDescent="0.3">
      <c r="A769" s="13" t="str">
        <f>HYPERLINK("https://parts-sales.ru/parts/MAN/06324990093","06.32499-0093")</f>
        <v>06.32499-0093</v>
      </c>
      <c r="B769" s="13" t="str">
        <f>HYPERLINK("https://parts-sales.ru/parts/MAN/06324990093","Конич. роликовый подшипник 32311-B")</f>
        <v>Конич. роликовый подшипник 32311-B</v>
      </c>
      <c r="C769" s="5" t="s">
        <v>7</v>
      </c>
      <c r="D769" s="6">
        <v>43624.800000000003</v>
      </c>
      <c r="E769" s="6">
        <v>9927</v>
      </c>
      <c r="F769" s="9">
        <v>0.77</v>
      </c>
      <c r="H769" s="11"/>
      <c r="I769" s="11"/>
      <c r="J769" s="11"/>
    </row>
    <row r="770" spans="1:10" ht="15.75" x14ac:dyDescent="0.3">
      <c r="A770" s="12" t="str">
        <f>HYPERLINK("https://parts-sales.ru/parts/MAN/06324990109","06.32499-0109")</f>
        <v>06.32499-0109</v>
      </c>
      <c r="B770" s="12" t="str">
        <f>HYPERLINK("https://parts-sales.ru/parts/MAN/06324990109","Конич. роликовый подшипник 33014")</f>
        <v>Конич. роликовый подшипник 33014</v>
      </c>
      <c r="C770" s="3" t="s">
        <v>7</v>
      </c>
      <c r="D770" s="4">
        <v>16077.24</v>
      </c>
      <c r="E770" s="4">
        <v>7503</v>
      </c>
      <c r="F770" s="8">
        <v>0.53</v>
      </c>
      <c r="H770" s="11"/>
      <c r="I770" s="11"/>
      <c r="J770" s="11"/>
    </row>
    <row r="771" spans="1:10" ht="15.75" x14ac:dyDescent="0.3">
      <c r="A771" s="13" t="str">
        <f>HYPERLINK("https://parts-sales.ru/parts/MAN/06324990155","06.32499-0155")</f>
        <v>06.32499-0155</v>
      </c>
      <c r="B771" s="13" t="str">
        <f>HYPERLINK("https://parts-sales.ru/parts/MAN/06324990155","Конич. роликовый подшипник 110X170X47")</f>
        <v>Конич. роликовый подшипник 110X170X47</v>
      </c>
      <c r="C771" s="5" t="s">
        <v>7</v>
      </c>
      <c r="D771" s="6">
        <v>22485.599999999999</v>
      </c>
      <c r="E771" s="6">
        <v>8013</v>
      </c>
      <c r="F771" s="9">
        <v>0.64</v>
      </c>
      <c r="H771" s="11"/>
      <c r="I771" s="11"/>
      <c r="J771" s="11"/>
    </row>
    <row r="772" spans="1:10" ht="15.75" x14ac:dyDescent="0.3">
      <c r="A772" s="12" t="str">
        <f>HYPERLINK("https://parts-sales.ru/parts/MAN/06325810300","06.32581-0300")</f>
        <v>06.32581-0300</v>
      </c>
      <c r="B772" s="12" t="str">
        <f>HYPERLINK("https://parts-sales.ru/parts/MAN/06325810300","Роликоподшип. с цил. роликами NJ206-EJ")</f>
        <v>Роликоподшип. с цил. роликами NJ206-EJ</v>
      </c>
      <c r="C772" s="3" t="s">
        <v>7</v>
      </c>
      <c r="D772" s="4">
        <v>16695.599999999999</v>
      </c>
      <c r="E772" s="4">
        <v>4437</v>
      </c>
      <c r="F772" s="8">
        <v>0.73</v>
      </c>
      <c r="H772" s="11"/>
      <c r="I772" s="11"/>
      <c r="J772" s="11"/>
    </row>
    <row r="773" spans="1:10" ht="15.75" x14ac:dyDescent="0.3">
      <c r="A773" s="13" t="str">
        <f>HYPERLINK("https://parts-sales.ru/parts/MAN/06327390002","06.32739-0002")</f>
        <v>06.32739-0002</v>
      </c>
      <c r="B773" s="13" t="str">
        <f>HYPERLINK("https://parts-sales.ru/parts/MAN/06327390002","Роликоподшип. с цил. роликами 52X90X33")</f>
        <v>Роликоподшип. с цил. роликами 52X90X33</v>
      </c>
      <c r="C773" s="5" t="s">
        <v>7</v>
      </c>
      <c r="D773" s="6">
        <v>26683.200000000001</v>
      </c>
      <c r="E773" s="6">
        <v>17776</v>
      </c>
      <c r="F773" s="9">
        <v>0.33</v>
      </c>
      <c r="H773" s="11"/>
      <c r="I773" s="11"/>
      <c r="J773" s="11"/>
    </row>
    <row r="774" spans="1:10" ht="15.75" x14ac:dyDescent="0.3">
      <c r="A774" s="12" t="str">
        <f>HYPERLINK("https://parts-sales.ru/parts/MAN/06337090007","06.33709-0007")</f>
        <v>06.33709-0007</v>
      </c>
      <c r="B774" s="12" t="str">
        <f>HYPERLINK("https://parts-sales.ru/parts/MAN/06337090007","Сепаратор игольч. подшипника K16X22X16")</f>
        <v>Сепаратор игольч. подшипника K16X22X16</v>
      </c>
      <c r="C774" s="3" t="s">
        <v>7</v>
      </c>
      <c r="D774" s="4">
        <v>2812.8</v>
      </c>
      <c r="E774" s="4">
        <v>936</v>
      </c>
      <c r="F774" s="8">
        <v>0.67</v>
      </c>
      <c r="H774" s="11"/>
      <c r="I774" s="11"/>
      <c r="J774" s="11"/>
    </row>
    <row r="775" spans="1:10" ht="15.75" x14ac:dyDescent="0.3">
      <c r="A775" s="13" t="str">
        <f>HYPERLINK("https://parts-sales.ru/parts/MAN/06360908203","06.36090-8203")</f>
        <v>06.36090-8203</v>
      </c>
      <c r="B775" s="13" t="str">
        <f>HYPERLINK("https://parts-sales.ru/parts/MAN/06360908203","Угловой шарнир CS13-MAN183-B1")</f>
        <v>Угловой шарнир CS13-MAN183-B1</v>
      </c>
      <c r="C775" s="5" t="s">
        <v>6</v>
      </c>
      <c r="D775" s="6">
        <v>2168.4</v>
      </c>
      <c r="E775" s="6">
        <v>635</v>
      </c>
      <c r="F775" s="9">
        <v>0.71</v>
      </c>
      <c r="H775" s="11"/>
      <c r="I775" s="11"/>
      <c r="J775" s="11"/>
    </row>
    <row r="776" spans="1:10" ht="15.75" x14ac:dyDescent="0.3">
      <c r="A776" s="12" t="str">
        <f>HYPERLINK("https://parts-sales.ru/parts/MAN/06361206203","06.36120-6203")</f>
        <v>06.36120-6203</v>
      </c>
      <c r="B776" s="12" t="str">
        <f>HYPERLINK("https://parts-sales.ru/parts/MAN/06361206203","Сферич. опорный подшипник B13-MAN183-B1")</f>
        <v>Сферич. опорный подшипник B13-MAN183-B1</v>
      </c>
      <c r="C776" s="3" t="s">
        <v>7</v>
      </c>
      <c r="D776" s="4">
        <v>1476</v>
      </c>
      <c r="E776" s="4">
        <v>518</v>
      </c>
      <c r="F776" s="8">
        <v>0.65</v>
      </c>
      <c r="H776" s="11"/>
      <c r="I776" s="11"/>
      <c r="J776" s="11"/>
    </row>
    <row r="777" spans="1:10" ht="15.75" x14ac:dyDescent="0.3">
      <c r="A777" s="13" t="str">
        <f>HYPERLINK("https://parts-sales.ru/parts/MAN/06369500309","06.36950-0309")</f>
        <v>06.36950-0309</v>
      </c>
      <c r="B777" s="13" t="str">
        <f>HYPERLINK("https://parts-sales.ru/parts/MAN/06369500309","Шарнирный подшипник GE25UK")</f>
        <v>Шарнирный подшипник GE25UK</v>
      </c>
      <c r="C777" s="5" t="s">
        <v>7</v>
      </c>
      <c r="D777" s="6">
        <v>8134.8</v>
      </c>
      <c r="E777" s="6">
        <v>1957</v>
      </c>
      <c r="F777" s="9">
        <v>0.76</v>
      </c>
      <c r="H777" s="11"/>
      <c r="I777" s="11"/>
      <c r="J777" s="11"/>
    </row>
    <row r="778" spans="1:10" ht="15.75" x14ac:dyDescent="0.3">
      <c r="A778" s="12" t="str">
        <f>HYPERLINK("https://parts-sales.ru/parts/MAN/06377690053","06.37769-0053")</f>
        <v>06.37769-0053</v>
      </c>
      <c r="B778" s="12" t="str">
        <f>HYPERLINK("https://parts-sales.ru/parts/MAN/06377690053","Кольцо нилос")</f>
        <v>Кольцо нилос</v>
      </c>
      <c r="C778" s="3" t="s">
        <v>6</v>
      </c>
      <c r="D778" s="4">
        <v>1065.5999999999999</v>
      </c>
      <c r="E778" s="4">
        <v>226</v>
      </c>
      <c r="F778" s="8">
        <v>0.79</v>
      </c>
      <c r="H778" s="11"/>
      <c r="I778" s="11"/>
      <c r="J778" s="11"/>
    </row>
    <row r="779" spans="1:10" ht="15.75" x14ac:dyDescent="0.3">
      <c r="A779" s="13" t="str">
        <f>HYPERLINK("https://parts-sales.ru/parts/MAN/06380700102","06.38070-0102")</f>
        <v>06.38070-0102</v>
      </c>
      <c r="B779" s="13" t="str">
        <f>HYPERLINK("https://parts-sales.ru/parts/MAN/06380700102","Конический смазочный ниппель AM8X1")</f>
        <v>Конический смазочный ниппель AM8X1</v>
      </c>
      <c r="C779" s="5" t="s">
        <v>6</v>
      </c>
      <c r="D779" s="6">
        <v>598.79999999999995</v>
      </c>
      <c r="E779" s="6">
        <v>169</v>
      </c>
      <c r="F779" s="9">
        <v>0.72</v>
      </c>
      <c r="H779" s="11"/>
      <c r="I779" s="11"/>
      <c r="J779" s="11"/>
    </row>
    <row r="780" spans="1:10" ht="15.75" x14ac:dyDescent="0.3">
      <c r="A780" s="12" t="str">
        <f>HYPERLINK("https://parts-sales.ru/parts/MAN/06380700202","06.38070-0202")</f>
        <v>06.38070-0202</v>
      </c>
      <c r="B780" s="12" t="str">
        <f>HYPERLINK("https://parts-sales.ru/parts/MAN/06380700202","Конический смазочный ниппель BM8X1-4KT")</f>
        <v>Конический смазочный ниппель BM8X1-4KT</v>
      </c>
      <c r="C780" s="3" t="s">
        <v>6</v>
      </c>
      <c r="D780" s="4">
        <v>1284</v>
      </c>
      <c r="E780" s="4">
        <v>262</v>
      </c>
      <c r="F780" s="8">
        <v>0.8</v>
      </c>
      <c r="H780" s="11"/>
      <c r="I780" s="11"/>
      <c r="J780" s="11"/>
    </row>
    <row r="781" spans="1:10" ht="15.75" x14ac:dyDescent="0.3">
      <c r="A781" s="13" t="str">
        <f>HYPERLINK("https://parts-sales.ru/parts/MAN/06380700303","06.38070-0303")</f>
        <v>06.38070-0303</v>
      </c>
      <c r="B781" s="13" t="str">
        <f>HYPERLINK("https://parts-sales.ru/parts/MAN/06380700303","Конический смазочный ниппель CM10X1-4KT")</f>
        <v>Конический смазочный ниппель CM10X1-4KT</v>
      </c>
      <c r="C781" s="5" t="s">
        <v>6</v>
      </c>
      <c r="D781" s="6">
        <v>801.6</v>
      </c>
      <c r="E781" s="6">
        <v>129</v>
      </c>
      <c r="F781" s="9">
        <v>0.84</v>
      </c>
      <c r="H781" s="11"/>
      <c r="I781" s="11"/>
      <c r="J781" s="11"/>
    </row>
    <row r="782" spans="1:10" ht="15.75" x14ac:dyDescent="0.3">
      <c r="A782" s="12" t="str">
        <f>HYPERLINK("https://parts-sales.ru/parts/MAN/06411590047","06.41159-0047")</f>
        <v>06.41159-0047</v>
      </c>
      <c r="B782" s="12" t="str">
        <f>HYPERLINK("https://parts-sales.ru/parts/MAN/06411590047","Пробка A10X20-20-PE603-SW")</f>
        <v>Пробка A10X20-20-PE603-SW</v>
      </c>
      <c r="C782" s="3" t="s">
        <v>6</v>
      </c>
      <c r="D782" s="4">
        <v>279.60000000000002</v>
      </c>
      <c r="E782" s="4">
        <v>2</v>
      </c>
      <c r="F782" s="8">
        <v>0.99</v>
      </c>
      <c r="H782" s="11"/>
      <c r="I782" s="11"/>
      <c r="J782" s="11"/>
    </row>
    <row r="783" spans="1:10" ht="15.75" x14ac:dyDescent="0.3">
      <c r="A783" s="13" t="str">
        <f>HYPERLINK("https://parts-sales.ru/parts/MAN/06438090177","06.43809-0177")</f>
        <v>06.43809-0177</v>
      </c>
      <c r="B783" s="13" t="str">
        <f>HYPERLINK("https://parts-sales.ru/parts/MAN/06438090177","Запорная цапфа")</f>
        <v>Запорная цапфа</v>
      </c>
      <c r="C783" s="5" t="s">
        <v>6</v>
      </c>
      <c r="D783" s="6">
        <v>5282.4</v>
      </c>
      <c r="E783" s="6">
        <v>1352</v>
      </c>
      <c r="F783" s="9">
        <v>0.74</v>
      </c>
      <c r="H783" s="11"/>
      <c r="I783" s="11"/>
      <c r="J783" s="11"/>
    </row>
    <row r="784" spans="1:10" ht="15.75" x14ac:dyDescent="0.3">
      <c r="A784" s="12" t="str">
        <f>HYPERLINK("https://parts-sales.ru/parts/MAN/06438090178","06.43809-0178")</f>
        <v>06.43809-0178</v>
      </c>
      <c r="B784" s="12" t="str">
        <f>HYPERLINK("https://parts-sales.ru/parts/MAN/06438090178","Стопорная шайба")</f>
        <v>Стопорная шайба</v>
      </c>
      <c r="C784" s="3" t="s">
        <v>6</v>
      </c>
      <c r="D784" s="4">
        <v>848.4</v>
      </c>
      <c r="E784" s="4">
        <v>199</v>
      </c>
      <c r="F784" s="8">
        <v>0.77</v>
      </c>
      <c r="H784" s="11"/>
      <c r="I784" s="11"/>
      <c r="J784" s="11"/>
    </row>
    <row r="785" spans="1:10" ht="15.75" x14ac:dyDescent="0.3">
      <c r="A785" s="13" t="str">
        <f>HYPERLINK("https://parts-sales.ru/parts/MAN/06438090184","06.43809-0184")</f>
        <v>06.43809-0184</v>
      </c>
      <c r="B785" s="13" t="str">
        <f>HYPERLINK("https://parts-sales.ru/parts/MAN/06438090184","Стопорная шайба")</f>
        <v>Стопорная шайба</v>
      </c>
      <c r="C785" s="5" t="s">
        <v>6</v>
      </c>
      <c r="D785" s="6">
        <v>240</v>
      </c>
      <c r="E785" s="6">
        <v>24</v>
      </c>
      <c r="F785" s="9">
        <v>0.9</v>
      </c>
      <c r="H785" s="11"/>
      <c r="I785" s="11"/>
      <c r="J785" s="11"/>
    </row>
    <row r="786" spans="1:10" ht="15.75" x14ac:dyDescent="0.3">
      <c r="A786" s="12" t="str">
        <f>HYPERLINK("https://parts-sales.ru/parts/MAN/06438090185","06.43809-0185")</f>
        <v>06.43809-0185</v>
      </c>
      <c r="B786" s="12" t="str">
        <f>HYPERLINK("https://parts-sales.ru/parts/MAN/06438090185","Запорная цапфа")</f>
        <v>Запорная цапфа</v>
      </c>
      <c r="C786" s="3" t="s">
        <v>6</v>
      </c>
      <c r="D786" s="4">
        <v>1708.8</v>
      </c>
      <c r="E786" s="4">
        <v>736</v>
      </c>
      <c r="F786" s="8">
        <v>0.56999999999999995</v>
      </c>
      <c r="H786" s="11"/>
      <c r="I786" s="11"/>
      <c r="J786" s="11"/>
    </row>
    <row r="787" spans="1:10" ht="15.75" x14ac:dyDescent="0.3">
      <c r="A787" s="13" t="str">
        <f>HYPERLINK("https://parts-sales.ru/parts/MAN/06438390078","06.43839-0078")</f>
        <v>06.43839-0078</v>
      </c>
      <c r="B787" s="13" t="str">
        <f>HYPERLINK("https://parts-sales.ru/parts/MAN/06438390078","U-образный зажим")</f>
        <v>U-образный зажим</v>
      </c>
      <c r="C787" s="5" t="s">
        <v>6</v>
      </c>
      <c r="D787" s="6">
        <v>182.4</v>
      </c>
      <c r="E787" s="6">
        <v>34</v>
      </c>
      <c r="F787" s="9">
        <v>0.81</v>
      </c>
      <c r="H787" s="11"/>
      <c r="I787" s="11"/>
      <c r="J787" s="11"/>
    </row>
    <row r="788" spans="1:10" ht="15.75" x14ac:dyDescent="0.3">
      <c r="A788" s="12" t="str">
        <f>HYPERLINK("https://parts-sales.ru/parts/MAN/06461100390","06.46110-0390")</f>
        <v>06.46110-0390</v>
      </c>
      <c r="B788" s="12" t="str">
        <f>HYPERLINK("https://parts-sales.ru/parts/MAN/06461100390","Стремянка рессоры A-M16X1,5-81X390-K")</f>
        <v>Стремянка рессоры A-M16X1,5-81X390-K</v>
      </c>
      <c r="C788" s="3" t="s">
        <v>6</v>
      </c>
      <c r="D788" s="4">
        <v>7375.2</v>
      </c>
      <c r="E788" s="4">
        <v>1231</v>
      </c>
      <c r="F788" s="8">
        <v>0.83</v>
      </c>
      <c r="H788" s="11"/>
      <c r="I788" s="11"/>
      <c r="J788" s="11"/>
    </row>
    <row r="789" spans="1:10" ht="15.75" x14ac:dyDescent="0.3">
      <c r="A789" s="13" t="str">
        <f>HYPERLINK("https://parts-sales.ru/parts/MAN/06461130230","06.46113-0230")</f>
        <v>06.46113-0230</v>
      </c>
      <c r="B789" s="13" t="str">
        <f>HYPERLINK("https://parts-sales.ru/parts/MAN/06461130230","Стремянка рессоры A-M20X2-91X230-K")</f>
        <v>Стремянка рессоры A-M20X2-91X230-K</v>
      </c>
      <c r="C789" s="5" t="s">
        <v>6</v>
      </c>
      <c r="D789" s="6">
        <v>14428.8</v>
      </c>
      <c r="E789" s="6">
        <v>4187</v>
      </c>
      <c r="F789" s="9">
        <v>0.71</v>
      </c>
      <c r="H789" s="11"/>
      <c r="I789" s="11"/>
      <c r="J789" s="11"/>
    </row>
    <row r="790" spans="1:10" ht="15.75" x14ac:dyDescent="0.3">
      <c r="A790" s="12" t="str">
        <f>HYPERLINK("https://parts-sales.ru/parts/MAN/06461150550","06.46115-0550")</f>
        <v>06.46115-0550</v>
      </c>
      <c r="B790" s="12" t="str">
        <f>HYPERLINK("https://parts-sales.ru/parts/MAN/06461150550","Стремянка рессоры A-M27X2-101X550-K")</f>
        <v>Стремянка рессоры A-M27X2-101X550-K</v>
      </c>
      <c r="C790" s="3" t="s">
        <v>6</v>
      </c>
      <c r="D790" s="4">
        <v>8976</v>
      </c>
      <c r="E790" s="4">
        <v>2873</v>
      </c>
      <c r="F790" s="8">
        <v>0.68</v>
      </c>
      <c r="H790" s="11"/>
      <c r="I790" s="11"/>
      <c r="J790" s="11"/>
    </row>
    <row r="791" spans="1:10" ht="15.75" x14ac:dyDescent="0.3">
      <c r="A791" s="13" t="str">
        <f>HYPERLINK("https://parts-sales.ru/parts/MAN/06461390005","06.46139-0005")</f>
        <v>06.46139-0005</v>
      </c>
      <c r="B791" s="13" t="str">
        <f>HYPERLINK("https://parts-sales.ru/parts/MAN/06461390005","Призматическая шпонка 80X12/2X170X20,0-S")</f>
        <v>Призматическая шпонка 80X12/2X170X20,0-S</v>
      </c>
      <c r="C791" s="5" t="s">
        <v>6</v>
      </c>
      <c r="D791" s="6">
        <v>16005.6</v>
      </c>
      <c r="E791" s="6">
        <v>3267</v>
      </c>
      <c r="F791" s="9">
        <v>0.8</v>
      </c>
      <c r="H791" s="11"/>
      <c r="I791" s="11"/>
      <c r="J791" s="11"/>
    </row>
    <row r="792" spans="1:10" ht="15.75" x14ac:dyDescent="0.3">
      <c r="A792" s="12" t="str">
        <f>HYPERLINK("https://parts-sales.ru/parts/MAN/06461390012","06.46139-0012")</f>
        <v>06.46139-0012</v>
      </c>
      <c r="B792" s="12" t="str">
        <f>HYPERLINK("https://parts-sales.ru/parts/MAN/06461390012","Призматическая шпонка 86X92/164X88X28-AL")</f>
        <v>Призматическая шпонка 86X92/164X88X28-AL</v>
      </c>
      <c r="C792" s="3" t="s">
        <v>6</v>
      </c>
      <c r="D792" s="4">
        <v>19830</v>
      </c>
      <c r="E792" s="4">
        <v>2519</v>
      </c>
      <c r="F792" s="8">
        <v>0.87</v>
      </c>
      <c r="H792" s="11"/>
      <c r="I792" s="11"/>
      <c r="J792" s="11"/>
    </row>
    <row r="793" spans="1:10" ht="15.75" x14ac:dyDescent="0.3">
      <c r="A793" s="13" t="str">
        <f>HYPERLINK("https://parts-sales.ru/parts/MAN/06480200201","06.48020-0201")</f>
        <v>06.48020-0201</v>
      </c>
      <c r="B793" s="13" t="str">
        <f>HYPERLINK("https://parts-sales.ru/parts/MAN/06480200201","Пломбировочный провод 0,5-0,3X400000-ST-")</f>
        <v>Пломбировочный провод 0,5-0,3X400000-ST-</v>
      </c>
      <c r="C793" s="5" t="s">
        <v>6</v>
      </c>
      <c r="D793" s="6">
        <v>62.4</v>
      </c>
      <c r="E793" s="6">
        <v>13</v>
      </c>
      <c r="F793" s="9">
        <v>0.79</v>
      </c>
      <c r="H793" s="11"/>
      <c r="I793" s="11"/>
      <c r="J793" s="11"/>
    </row>
    <row r="794" spans="1:10" ht="15.75" x14ac:dyDescent="0.3">
      <c r="A794" s="12" t="str">
        <f>HYPERLINK("https://parts-sales.ru/parts/MAN/06540246874","06.54024-6874")</f>
        <v>06.54024-6874</v>
      </c>
      <c r="B794" s="12" t="str">
        <f>HYPERLINK("https://parts-sales.ru/parts/MAN/06540246874","Шлангопровод N1-10DNX500")</f>
        <v>Шлангопровод N1-10DNX500</v>
      </c>
      <c r="C794" s="3" t="s">
        <v>6</v>
      </c>
      <c r="D794" s="4">
        <v>1062</v>
      </c>
      <c r="E794" s="4">
        <v>563</v>
      </c>
      <c r="F794" s="8">
        <v>0.47</v>
      </c>
      <c r="H794" s="11"/>
      <c r="I794" s="11"/>
      <c r="J794" s="11"/>
    </row>
    <row r="795" spans="1:10" ht="15.75" x14ac:dyDescent="0.3">
      <c r="A795" s="13" t="str">
        <f>HYPERLINK("https://parts-sales.ru/parts/MAN/06540247787","06.54024-7787")</f>
        <v>06.54024-7787</v>
      </c>
      <c r="B795" s="13" t="str">
        <f>HYPERLINK("https://parts-sales.ru/parts/MAN/06540247787","Шлангопровод N1-10NNX1000")</f>
        <v>Шлангопровод N1-10NNX1000</v>
      </c>
      <c r="C795" s="5" t="s">
        <v>6</v>
      </c>
      <c r="D795" s="6">
        <v>9224.4</v>
      </c>
      <c r="E795" s="6">
        <v>3695</v>
      </c>
      <c r="F795" s="9">
        <v>0.6</v>
      </c>
      <c r="H795" s="11"/>
      <c r="I795" s="11"/>
      <c r="J795" s="11"/>
    </row>
    <row r="796" spans="1:10" ht="15.75" x14ac:dyDescent="0.3">
      <c r="A796" s="12" t="str">
        <f>HYPERLINK("https://parts-sales.ru/parts/MAN/06540290047","06.54029-0047")</f>
        <v>06.54029-0047</v>
      </c>
      <c r="B796" s="12" t="str">
        <f>HYPERLINK("https://parts-sales.ru/parts/MAN/06540290047","Шлангопровод N1-10NNX400-MAN183-B1")</f>
        <v>Шлангопровод N1-10NNX400-MAN183-B1</v>
      </c>
      <c r="C796" s="3" t="s">
        <v>6</v>
      </c>
      <c r="D796" s="4">
        <v>5532</v>
      </c>
      <c r="E796" s="4">
        <v>1506</v>
      </c>
      <c r="F796" s="8">
        <v>0.73</v>
      </c>
      <c r="H796" s="11"/>
      <c r="I796" s="11"/>
      <c r="J796" s="11"/>
    </row>
    <row r="797" spans="1:10" ht="15.75" x14ac:dyDescent="0.3">
      <c r="A797" s="13" t="str">
        <f>HYPERLINK("https://parts-sales.ru/parts/MAN/06540990149","06.54099-0149")</f>
        <v>06.54099-0149</v>
      </c>
      <c r="B797" s="13" t="str">
        <f>HYPERLINK("https://parts-sales.ru/parts/MAN/06540990149","Шлангопровод 1050")</f>
        <v>Шлангопровод 1050</v>
      </c>
      <c r="C797" s="5" t="s">
        <v>6</v>
      </c>
      <c r="D797" s="6">
        <v>8347.2000000000007</v>
      </c>
      <c r="E797" s="6">
        <v>2018</v>
      </c>
      <c r="F797" s="9">
        <v>0.76</v>
      </c>
      <c r="H797" s="11"/>
      <c r="I797" s="11"/>
      <c r="J797" s="11"/>
    </row>
    <row r="798" spans="1:10" ht="15.75" x14ac:dyDescent="0.3">
      <c r="A798" s="12" t="str">
        <f>HYPERLINK("https://parts-sales.ru/parts/MAN/06540990175","06.54099-0175")</f>
        <v>06.54099-0175</v>
      </c>
      <c r="B798" s="12" t="str">
        <f>HYPERLINK("https://parts-sales.ru/parts/MAN/06540990175","Шлангопровод 9N-N90X2460-M3286-K2-4")</f>
        <v>Шлангопровод 9N-N90X2460-M3286-K2-4</v>
      </c>
      <c r="C798" s="3" t="s">
        <v>6</v>
      </c>
      <c r="D798" s="4">
        <v>9093.6</v>
      </c>
      <c r="E798" s="4">
        <v>1920</v>
      </c>
      <c r="F798" s="8">
        <v>0.79</v>
      </c>
      <c r="H798" s="11"/>
      <c r="I798" s="11"/>
      <c r="J798" s="11"/>
    </row>
    <row r="799" spans="1:10" ht="15.75" x14ac:dyDescent="0.3">
      <c r="A799" s="13" t="str">
        <f>HYPERLINK("https://parts-sales.ru/parts/MAN/06540990234","06.54099-0234")</f>
        <v>06.54099-0234</v>
      </c>
      <c r="B799" s="13" t="str">
        <f>HYPERLINK("https://parts-sales.ru/parts/MAN/06540990234","Шлангопровод 7X2090/M12X1,5")</f>
        <v>Шлангопровод 7X2090/M12X1,5</v>
      </c>
      <c r="C799" s="5" t="s">
        <v>6</v>
      </c>
      <c r="D799" s="6">
        <v>20532</v>
      </c>
      <c r="E799" s="6">
        <v>6117</v>
      </c>
      <c r="F799" s="9">
        <v>0.7</v>
      </c>
      <c r="H799" s="11"/>
      <c r="I799" s="11"/>
      <c r="J799" s="11"/>
    </row>
    <row r="800" spans="1:10" ht="15.75" x14ac:dyDescent="0.3">
      <c r="A800" s="12" t="str">
        <f>HYPERLINK("https://parts-sales.ru/parts/MAN/06540990242","06.54099-0242")</f>
        <v>06.54099-0242</v>
      </c>
      <c r="B800" s="12" t="str">
        <f>HYPERLINK("https://parts-sales.ru/parts/MAN/06540990242","Шлангопровод")</f>
        <v>Шлангопровод</v>
      </c>
      <c r="C800" s="3" t="s">
        <v>6</v>
      </c>
      <c r="D800" s="4">
        <v>20962.8</v>
      </c>
      <c r="E800" s="4">
        <v>5887</v>
      </c>
      <c r="F800" s="8">
        <v>0.72</v>
      </c>
      <c r="H800" s="11"/>
      <c r="I800" s="11"/>
      <c r="J800" s="11"/>
    </row>
    <row r="801" spans="1:10" ht="15.75" x14ac:dyDescent="0.3">
      <c r="A801" s="13" t="str">
        <f>HYPERLINK("https://parts-sales.ru/parts/MAN/06541312101","06.54131-2101")</f>
        <v>06.54131-2101</v>
      </c>
      <c r="B801" s="13" t="str">
        <f>HYPERLINK("https://parts-sales.ru/parts/MAN/06541312101","Шлангопровод 1ST-12DDX300-ZSK-MAN183-B1")</f>
        <v>Шлангопровод 1ST-12DDX300-ZSK-MAN183-B1</v>
      </c>
      <c r="C801" s="5" t="s">
        <v>6</v>
      </c>
      <c r="D801" s="6">
        <v>12656.4</v>
      </c>
      <c r="E801" s="6">
        <v>2964</v>
      </c>
      <c r="F801" s="9">
        <v>0.77</v>
      </c>
      <c r="H801" s="11"/>
      <c r="I801" s="11"/>
      <c r="J801" s="11"/>
    </row>
    <row r="802" spans="1:10" ht="15.75" x14ac:dyDescent="0.3">
      <c r="A802" s="12" t="str">
        <f>HYPERLINK("https://parts-sales.ru/parts/MAN/06541409008","06.54140-9008")</f>
        <v>06.54140-9008</v>
      </c>
      <c r="B802" s="12" t="str">
        <f>HYPERLINK("https://parts-sales.ru/parts/MAN/06541409008","Шлангопровод")</f>
        <v>Шлангопровод</v>
      </c>
      <c r="C802" s="3" t="s">
        <v>6</v>
      </c>
      <c r="D802" s="4">
        <v>8846.4</v>
      </c>
      <c r="E802" s="4">
        <v>2209</v>
      </c>
      <c r="F802" s="8">
        <v>0.75</v>
      </c>
      <c r="H802" s="11"/>
      <c r="I802" s="11"/>
      <c r="J802" s="11"/>
    </row>
    <row r="803" spans="1:10" ht="15.75" x14ac:dyDescent="0.3">
      <c r="A803" s="13" t="str">
        <f>HYPERLINK("https://parts-sales.ru/parts/MAN/06541418506","06.54141-8506")</f>
        <v>06.54141-8506</v>
      </c>
      <c r="B803" s="13" t="str">
        <f>HYPERLINK("https://parts-sales.ru/parts/MAN/06541418506","Шлангопровод 2ST 16 EPX500-MAN183-B1")</f>
        <v>Шлангопровод 2ST 16 EPX500-MAN183-B1</v>
      </c>
      <c r="C803" s="5" t="s">
        <v>6</v>
      </c>
      <c r="D803" s="6">
        <v>17918.400000000001</v>
      </c>
      <c r="E803" s="6">
        <v>4371</v>
      </c>
      <c r="F803" s="9">
        <v>0.76</v>
      </c>
      <c r="H803" s="11"/>
      <c r="I803" s="11"/>
      <c r="J803" s="11"/>
    </row>
    <row r="804" spans="1:10" ht="15.75" x14ac:dyDescent="0.3">
      <c r="A804" s="12" t="str">
        <f>HYPERLINK("https://parts-sales.ru/parts/MAN/06561800702","06.56180-0702")</f>
        <v>06.56180-0702</v>
      </c>
      <c r="B804" s="12" t="str">
        <f>HYPERLINK("https://parts-sales.ru/parts/MAN/06561800702","Уплотнительное кольцо A4X8-CU")</f>
        <v>Уплотнительное кольцо A4X8-CU</v>
      </c>
      <c r="C804" s="3" t="s">
        <v>6</v>
      </c>
      <c r="D804" s="4">
        <v>216</v>
      </c>
      <c r="E804" s="4">
        <v>43</v>
      </c>
      <c r="F804" s="8">
        <v>0.8</v>
      </c>
      <c r="H804" s="11"/>
      <c r="I804" s="11"/>
      <c r="J804" s="11"/>
    </row>
    <row r="805" spans="1:10" ht="15.75" x14ac:dyDescent="0.3">
      <c r="A805" s="13" t="str">
        <f>HYPERLINK("https://parts-sales.ru/parts/MAN/06561800704","06.56180-0704")</f>
        <v>06.56180-0704</v>
      </c>
      <c r="B805" s="13" t="str">
        <f>HYPERLINK("https://parts-sales.ru/parts/MAN/06561800704","Уплотнительное кольцо A5X9-CU")</f>
        <v>Уплотнительное кольцо A5X9-CU</v>
      </c>
      <c r="C805" s="5" t="s">
        <v>6</v>
      </c>
      <c r="D805" s="6">
        <v>216</v>
      </c>
      <c r="E805" s="6">
        <v>66</v>
      </c>
      <c r="F805" s="9">
        <v>0.69</v>
      </c>
      <c r="H805" s="11"/>
      <c r="I805" s="11"/>
      <c r="J805" s="11"/>
    </row>
    <row r="806" spans="1:10" ht="15.75" x14ac:dyDescent="0.3">
      <c r="A806" s="12" t="str">
        <f>HYPERLINK("https://parts-sales.ru/parts/MAN/06561800708","06.56180-0708")</f>
        <v>06.56180-0708</v>
      </c>
      <c r="B806" s="12" t="str">
        <f>HYPERLINK("https://parts-sales.ru/parts/MAN/06561800708","Уплотнительное кольцо A6,5X11-CU")</f>
        <v>Уплотнительное кольцо A6,5X11-CU</v>
      </c>
      <c r="C806" s="3" t="s">
        <v>6</v>
      </c>
      <c r="D806" s="4">
        <v>250.8</v>
      </c>
      <c r="E806" s="4">
        <v>50</v>
      </c>
      <c r="F806" s="8">
        <v>0.8</v>
      </c>
      <c r="H806" s="11"/>
      <c r="I806" s="11"/>
      <c r="J806" s="11"/>
    </row>
    <row r="807" spans="1:10" ht="15.75" x14ac:dyDescent="0.3">
      <c r="A807" s="13" t="str">
        <f>HYPERLINK("https://parts-sales.ru/parts/MAN/06561800709","06.56180-0709")</f>
        <v>06.56180-0709</v>
      </c>
      <c r="B807" s="13" t="str">
        <f>HYPERLINK("https://parts-sales.ru/parts/MAN/06561800709","Уплотнительное кольцо A8X11,5-CU")</f>
        <v>Уплотнительное кольцо A8X11,5-CU</v>
      </c>
      <c r="C807" s="5" t="s">
        <v>6</v>
      </c>
      <c r="D807" s="6">
        <v>250.8</v>
      </c>
      <c r="E807" s="6">
        <v>62</v>
      </c>
      <c r="F807" s="9">
        <v>0.75</v>
      </c>
      <c r="H807" s="11"/>
      <c r="I807" s="11"/>
      <c r="J807" s="11"/>
    </row>
    <row r="808" spans="1:10" ht="15.75" x14ac:dyDescent="0.3">
      <c r="A808" s="12" t="str">
        <f>HYPERLINK("https://parts-sales.ru/parts/MAN/06561800712","06.56180-0712")</f>
        <v>06.56180-0712</v>
      </c>
      <c r="B808" s="12" t="str">
        <f>HYPERLINK("https://parts-sales.ru/parts/MAN/06561800712","Уплотнительное кольцо A8X14-CU")</f>
        <v>Уплотнительное кольцо A8X14-CU</v>
      </c>
      <c r="C808" s="3" t="s">
        <v>6</v>
      </c>
      <c r="D808" s="4">
        <v>216</v>
      </c>
      <c r="E808" s="4">
        <v>47</v>
      </c>
      <c r="F808" s="8">
        <v>0.78</v>
      </c>
      <c r="H808" s="11"/>
      <c r="I808" s="11"/>
      <c r="J808" s="11"/>
    </row>
    <row r="809" spans="1:10" ht="15.75" x14ac:dyDescent="0.3">
      <c r="A809" s="13" t="str">
        <f>HYPERLINK("https://parts-sales.ru/parts/MAN/06561800713","06.56180-0713")</f>
        <v>06.56180-0713</v>
      </c>
      <c r="B809" s="13" t="str">
        <f>HYPERLINK("https://parts-sales.ru/parts/MAN/06561800713","Уплотнительное кольцо A10X13,5-CU")</f>
        <v>Уплотнительное кольцо A10X13,5-CU</v>
      </c>
      <c r="C809" s="5" t="s">
        <v>6</v>
      </c>
      <c r="D809" s="6">
        <v>309.60000000000002</v>
      </c>
      <c r="E809" s="6">
        <v>67</v>
      </c>
      <c r="F809" s="9">
        <v>0.78</v>
      </c>
      <c r="H809" s="11"/>
      <c r="I809" s="11"/>
      <c r="J809" s="11"/>
    </row>
    <row r="810" spans="1:10" ht="15.75" x14ac:dyDescent="0.3">
      <c r="A810" s="12" t="str">
        <f>HYPERLINK("https://parts-sales.ru/parts/MAN/06561900701","06.56190-0701")</f>
        <v>06.56190-0701</v>
      </c>
      <c r="B810" s="12" t="str">
        <f>HYPERLINK("https://parts-sales.ru/parts/MAN/06561900701","Уплотнительное кольцо A12X15,5X1,5-CU")</f>
        <v>Уплотнительное кольцо A12X15,5X1,5-CU</v>
      </c>
      <c r="C810" s="3" t="s">
        <v>6</v>
      </c>
      <c r="D810" s="4">
        <v>400.8</v>
      </c>
      <c r="E810" s="4">
        <v>62</v>
      </c>
      <c r="F810" s="8">
        <v>0.85</v>
      </c>
      <c r="H810" s="11"/>
      <c r="I810" s="11"/>
      <c r="J810" s="11"/>
    </row>
    <row r="811" spans="1:10" ht="15.75" x14ac:dyDescent="0.3">
      <c r="A811" s="13" t="str">
        <f>HYPERLINK("https://parts-sales.ru/parts/MAN/06561900705","06.56190-0705")</f>
        <v>06.56190-0705</v>
      </c>
      <c r="B811" s="13" t="str">
        <f>HYPERLINK("https://parts-sales.ru/parts/MAN/06561900705","Уплотнительное кольцо A14X18-CU")</f>
        <v>Уплотнительное кольцо A14X18-CU</v>
      </c>
      <c r="C811" s="5" t="s">
        <v>6</v>
      </c>
      <c r="D811" s="6">
        <v>464.4</v>
      </c>
      <c r="E811" s="6">
        <v>108</v>
      </c>
      <c r="F811" s="9">
        <v>0.77</v>
      </c>
      <c r="H811" s="11"/>
      <c r="I811" s="11"/>
      <c r="J811" s="11"/>
    </row>
    <row r="812" spans="1:10" ht="15.75" x14ac:dyDescent="0.3">
      <c r="A812" s="12" t="str">
        <f>HYPERLINK("https://parts-sales.ru/parts/MAN/06561900706","06.56190-0706")</f>
        <v>06.56190-0706</v>
      </c>
      <c r="B812" s="12" t="str">
        <f>HYPERLINK("https://parts-sales.ru/parts/MAN/06561900706","Уплотнительное кольцо A14X20-CU")</f>
        <v>Уплотнительное кольцо A14X20-CU</v>
      </c>
      <c r="C812" s="3" t="s">
        <v>6</v>
      </c>
      <c r="D812" s="4">
        <v>338.4</v>
      </c>
      <c r="E812" s="4">
        <v>80</v>
      </c>
      <c r="F812" s="8">
        <v>0.76</v>
      </c>
      <c r="H812" s="11"/>
      <c r="I812" s="11"/>
      <c r="J812" s="11"/>
    </row>
    <row r="813" spans="1:10" ht="15.75" x14ac:dyDescent="0.3">
      <c r="A813" s="13" t="str">
        <f>HYPERLINK("https://parts-sales.ru/parts/MAN/06561900708","06.56190-0708")</f>
        <v>06.56190-0708</v>
      </c>
      <c r="B813" s="13" t="str">
        <f>HYPERLINK("https://parts-sales.ru/parts/MAN/06561900708","Уплотнительное кольцо A16X20-CU")</f>
        <v>Уплотнительное кольцо A16X20-CU</v>
      </c>
      <c r="C813" s="5" t="s">
        <v>6</v>
      </c>
      <c r="D813" s="6">
        <v>400.8</v>
      </c>
      <c r="E813" s="6">
        <v>55</v>
      </c>
      <c r="F813" s="9">
        <v>0.86</v>
      </c>
      <c r="H813" s="11"/>
      <c r="I813" s="11"/>
      <c r="J813" s="11"/>
    </row>
    <row r="814" spans="1:10" ht="15.75" x14ac:dyDescent="0.3">
      <c r="A814" s="12" t="str">
        <f>HYPERLINK("https://parts-sales.ru/parts/MAN/06561900709","06.56190-0709")</f>
        <v>06.56190-0709</v>
      </c>
      <c r="B814" s="12" t="str">
        <f>HYPERLINK("https://parts-sales.ru/parts/MAN/06561900709","Уплотнительное кольцо A16X22-CU")</f>
        <v>Уплотнительное кольцо A16X22-CU</v>
      </c>
      <c r="C814" s="3" t="s">
        <v>6</v>
      </c>
      <c r="D814" s="4">
        <v>559.20000000000005</v>
      </c>
      <c r="E814" s="4">
        <v>77</v>
      </c>
      <c r="F814" s="8">
        <v>0.86</v>
      </c>
      <c r="H814" s="11"/>
      <c r="I814" s="11"/>
      <c r="J814" s="11"/>
    </row>
    <row r="815" spans="1:10" ht="15.75" x14ac:dyDescent="0.3">
      <c r="A815" s="13" t="str">
        <f>HYPERLINK("https://parts-sales.ru/parts/MAN/06561900714","06.56190-0714")</f>
        <v>06.56190-0714</v>
      </c>
      <c r="B815" s="13" t="str">
        <f>HYPERLINK("https://parts-sales.ru/parts/MAN/06561900714","Уплотнительное кольцо A20X24-CU")</f>
        <v>Уплотнительное кольцо A20X24-CU</v>
      </c>
      <c r="C815" s="5" t="s">
        <v>6</v>
      </c>
      <c r="D815" s="6">
        <v>250.8</v>
      </c>
      <c r="E815" s="6">
        <v>44</v>
      </c>
      <c r="F815" s="9">
        <v>0.82</v>
      </c>
      <c r="H815" s="11"/>
      <c r="I815" s="11"/>
      <c r="J815" s="11"/>
    </row>
    <row r="816" spans="1:10" ht="15.75" x14ac:dyDescent="0.3">
      <c r="A816" s="12" t="str">
        <f>HYPERLINK("https://parts-sales.ru/parts/MAN/06561900718","06.56190-0718")</f>
        <v>06.56190-0718</v>
      </c>
      <c r="B816" s="12" t="str">
        <f>HYPERLINK("https://parts-sales.ru/parts/MAN/06561900718","Уплотнительное кольцо A22X27-CU")</f>
        <v>Уплотнительное кольцо A22X27-CU</v>
      </c>
      <c r="C816" s="3" t="s">
        <v>6</v>
      </c>
      <c r="D816" s="4">
        <v>651.6</v>
      </c>
      <c r="E816" s="4">
        <v>129</v>
      </c>
      <c r="F816" s="8">
        <v>0.8</v>
      </c>
      <c r="H816" s="11"/>
      <c r="I816" s="11"/>
      <c r="J816" s="11"/>
    </row>
    <row r="817" spans="1:10" ht="15.75" x14ac:dyDescent="0.3">
      <c r="A817" s="13" t="str">
        <f>HYPERLINK("https://parts-sales.ru/parts/MAN/06561900722","06.56190-0722")</f>
        <v>06.56190-0722</v>
      </c>
      <c r="B817" s="13" t="str">
        <f>HYPERLINK("https://parts-sales.ru/parts/MAN/06561900722","Уплотнительное кольцо A24X29-CU")</f>
        <v>Уплотнительное кольцо A24X29-CU</v>
      </c>
      <c r="C817" s="5" t="s">
        <v>6</v>
      </c>
      <c r="D817" s="6">
        <v>258</v>
      </c>
      <c r="E817" s="6">
        <v>74</v>
      </c>
      <c r="F817" s="9">
        <v>0.71</v>
      </c>
      <c r="H817" s="11"/>
      <c r="I817" s="11"/>
      <c r="J817" s="11"/>
    </row>
    <row r="818" spans="1:10" ht="15.75" x14ac:dyDescent="0.3">
      <c r="A818" s="12" t="str">
        <f>HYPERLINK("https://parts-sales.ru/parts/MAN/06561900804","06.56190-0804")</f>
        <v>06.56190-0804</v>
      </c>
      <c r="B818" s="12" t="str">
        <f>HYPERLINK("https://parts-sales.ru/parts/MAN/06561900804","Уплотнительное кольцо A12X18-AL")</f>
        <v>Уплотнительное кольцо A12X18-AL</v>
      </c>
      <c r="C818" s="3" t="s">
        <v>6</v>
      </c>
      <c r="D818" s="4">
        <v>250.8</v>
      </c>
      <c r="E818" s="4">
        <v>37</v>
      </c>
      <c r="F818" s="8">
        <v>0.85</v>
      </c>
      <c r="H818" s="11"/>
      <c r="I818" s="11"/>
      <c r="J818" s="11"/>
    </row>
    <row r="819" spans="1:10" ht="15.75" x14ac:dyDescent="0.3">
      <c r="A819" s="13" t="str">
        <f>HYPERLINK("https://parts-sales.ru/parts/MAN/06561900809","06.56190-0809")</f>
        <v>06.56190-0809</v>
      </c>
      <c r="B819" s="13" t="str">
        <f>HYPERLINK("https://parts-sales.ru/parts/MAN/06561900809","Уплотнительное кольцо A16X22-AL")</f>
        <v>Уплотнительное кольцо A16X22-AL</v>
      </c>
      <c r="C819" s="5" t="s">
        <v>6</v>
      </c>
      <c r="D819" s="6">
        <v>345.6</v>
      </c>
      <c r="E819" s="6">
        <v>60</v>
      </c>
      <c r="F819" s="9">
        <v>0.83</v>
      </c>
      <c r="H819" s="11"/>
      <c r="I819" s="11"/>
      <c r="J819" s="11"/>
    </row>
    <row r="820" spans="1:10" ht="15.75" x14ac:dyDescent="0.3">
      <c r="A820" s="12" t="str">
        <f>HYPERLINK("https://parts-sales.ru/parts/MAN/06561900818","06.56190-0818")</f>
        <v>06.56190-0818</v>
      </c>
      <c r="B820" s="12" t="str">
        <f>HYPERLINK("https://parts-sales.ru/parts/MAN/06561900818","Уплотнительное кольцо A22X27-AL")</f>
        <v>Уплотнительное кольцо A22X27-AL</v>
      </c>
      <c r="C820" s="3" t="s">
        <v>6</v>
      </c>
      <c r="D820" s="4">
        <v>562.79999999999995</v>
      </c>
      <c r="E820" s="4">
        <v>81</v>
      </c>
      <c r="F820" s="8">
        <v>0.86</v>
      </c>
      <c r="H820" s="11"/>
      <c r="I820" s="11"/>
      <c r="J820" s="11"/>
    </row>
    <row r="821" spans="1:10" ht="15.75" x14ac:dyDescent="0.3">
      <c r="A821" s="13" t="str">
        <f>HYPERLINK("https://parts-sales.ru/parts/MAN/06561900822","06.56190-0822")</f>
        <v>06.56190-0822</v>
      </c>
      <c r="B821" s="13" t="str">
        <f>HYPERLINK("https://parts-sales.ru/parts/MAN/06561900822","Уплотнительное кольцо A24X29-AL")</f>
        <v>Уплотнительное кольцо A24X29-AL</v>
      </c>
      <c r="C821" s="5" t="s">
        <v>6</v>
      </c>
      <c r="D821" s="6">
        <v>298.8</v>
      </c>
      <c r="E821" s="6">
        <v>95</v>
      </c>
      <c r="F821" s="9">
        <v>0.68</v>
      </c>
      <c r="H821" s="11"/>
      <c r="I821" s="11"/>
      <c r="J821" s="11"/>
    </row>
    <row r="822" spans="1:10" ht="15.75" x14ac:dyDescent="0.3">
      <c r="A822" s="12" t="str">
        <f>HYPERLINK("https://parts-sales.ru/parts/MAN/06561900836","06.56190-0836")</f>
        <v>06.56190-0836</v>
      </c>
      <c r="B822" s="12" t="str">
        <f>HYPERLINK("https://parts-sales.ru/parts/MAN/06561900836","Уплотнительное кольцо A33X39-AL")</f>
        <v>Уплотнительное кольцо A33X39-AL</v>
      </c>
      <c r="C822" s="3" t="s">
        <v>6</v>
      </c>
      <c r="D822" s="4">
        <v>699.6</v>
      </c>
      <c r="E822" s="4">
        <v>110</v>
      </c>
      <c r="F822" s="8">
        <v>0.84</v>
      </c>
      <c r="H822" s="11"/>
      <c r="I822" s="11"/>
      <c r="J822" s="11"/>
    </row>
    <row r="823" spans="1:10" ht="15.75" x14ac:dyDescent="0.3">
      <c r="A823" s="13" t="str">
        <f>HYPERLINK("https://parts-sales.ru/parts/MAN/06561900912","06.56190-0912")</f>
        <v>06.56190-0912</v>
      </c>
      <c r="B823" s="13" t="str">
        <f>HYPERLINK("https://parts-sales.ru/parts/MAN/06561900912","Уплотнительное кольцо A18X22-ST")</f>
        <v>Уплотнительное кольцо A18X22-ST</v>
      </c>
      <c r="C823" s="5" t="s">
        <v>6</v>
      </c>
      <c r="D823" s="6">
        <v>312</v>
      </c>
      <c r="E823" s="6">
        <v>57</v>
      </c>
      <c r="F823" s="9">
        <v>0.82</v>
      </c>
      <c r="H823" s="11"/>
      <c r="I823" s="11"/>
      <c r="J823" s="11"/>
    </row>
    <row r="824" spans="1:10" ht="15.75" x14ac:dyDescent="0.3">
      <c r="A824" s="12" t="str">
        <f>HYPERLINK("https://parts-sales.ru/parts/MAN/06561990055","06.56199-0055")</f>
        <v>06.56199-0055</v>
      </c>
      <c r="B824" s="12" t="str">
        <f>HYPERLINK("https://parts-sales.ru/parts/MAN/06561990055","Уплотнительное кольцо A22X27-ST-K4E")</f>
        <v>Уплотнительное кольцо A22X27-ST-K4E</v>
      </c>
      <c r="C824" s="3" t="s">
        <v>6</v>
      </c>
      <c r="D824" s="4">
        <v>298.8</v>
      </c>
      <c r="E824" s="4">
        <v>150</v>
      </c>
      <c r="F824" s="8">
        <v>0.5</v>
      </c>
      <c r="H824" s="11"/>
      <c r="I824" s="11"/>
      <c r="J824" s="11"/>
    </row>
    <row r="825" spans="1:10" ht="15.75" x14ac:dyDescent="0.3">
      <c r="A825" s="13" t="str">
        <f>HYPERLINK("https://parts-sales.ru/parts/MAN/06561990065","06.56199-0065")</f>
        <v>06.56199-0065</v>
      </c>
      <c r="B825" s="13" t="str">
        <f>HYPERLINK("https://parts-sales.ru/parts/MAN/06561990065","Уплотнительное кольцо A18X22-CU")</f>
        <v>Уплотнительное кольцо A18X22-CU</v>
      </c>
      <c r="C825" s="5" t="s">
        <v>6</v>
      </c>
      <c r="D825" s="6">
        <v>376.8</v>
      </c>
      <c r="E825" s="6">
        <v>114</v>
      </c>
      <c r="F825" s="9">
        <v>0.7</v>
      </c>
      <c r="H825" s="11"/>
      <c r="I825" s="11"/>
      <c r="J825" s="11"/>
    </row>
    <row r="826" spans="1:10" ht="15.75" x14ac:dyDescent="0.3">
      <c r="A826" s="12" t="str">
        <f>HYPERLINK("https://parts-sales.ru/parts/MAN/06562000707","06.56200-0707")</f>
        <v>06.56200-0707</v>
      </c>
      <c r="B826" s="12" t="str">
        <f>HYPERLINK("https://parts-sales.ru/parts/MAN/06562000707","Уплотнительное кольцо A42X49-CU")</f>
        <v>Уплотнительное кольцо A42X49-CU</v>
      </c>
      <c r="C826" s="3" t="s">
        <v>6</v>
      </c>
      <c r="D826" s="4">
        <v>1404</v>
      </c>
      <c r="E826" s="4">
        <v>404</v>
      </c>
      <c r="F826" s="8">
        <v>0.71</v>
      </c>
      <c r="H826" s="11"/>
      <c r="I826" s="11"/>
      <c r="J826" s="11"/>
    </row>
    <row r="827" spans="1:10" ht="15.75" x14ac:dyDescent="0.3">
      <c r="A827" s="13" t="str">
        <f>HYPERLINK("https://parts-sales.ru/parts/MAN/06562000801","06.56200-0801")</f>
        <v>06.56200-0801</v>
      </c>
      <c r="B827" s="13" t="str">
        <f>HYPERLINK("https://parts-sales.ru/parts/MAN/06562000801","Уплотнительное кольцо A38X44-AL")</f>
        <v>Уплотнительное кольцо A38X44-AL</v>
      </c>
      <c r="C827" s="5" t="s">
        <v>6</v>
      </c>
      <c r="D827" s="6">
        <v>562.79999999999995</v>
      </c>
      <c r="E827" s="6">
        <v>93</v>
      </c>
      <c r="F827" s="9">
        <v>0.83</v>
      </c>
      <c r="H827" s="11"/>
      <c r="I827" s="11"/>
      <c r="J827" s="11"/>
    </row>
    <row r="828" spans="1:10" ht="15.75" x14ac:dyDescent="0.3">
      <c r="A828" s="12" t="str">
        <f>HYPERLINK("https://parts-sales.ru/parts/MAN/06562000811","06.56200-0811")</f>
        <v>06.56200-0811</v>
      </c>
      <c r="B828" s="12" t="str">
        <f>HYPERLINK("https://parts-sales.ru/parts/MAN/06562000811","Уплотнительное кольцо A45X52-AL")</f>
        <v>Уплотнительное кольцо A45X52-AL</v>
      </c>
      <c r="C828" s="3" t="s">
        <v>6</v>
      </c>
      <c r="D828" s="4">
        <v>440.4</v>
      </c>
      <c r="E828" s="4">
        <v>101</v>
      </c>
      <c r="F828" s="8">
        <v>0.77</v>
      </c>
      <c r="H828" s="11"/>
      <c r="I828" s="11"/>
      <c r="J828" s="11"/>
    </row>
    <row r="829" spans="1:10" ht="15.75" x14ac:dyDescent="0.3">
      <c r="A829" s="13" t="str">
        <f>HYPERLINK("https://parts-sales.ru/parts/MAN/06562543706","06.56254-3706")</f>
        <v>06.56254-3706</v>
      </c>
      <c r="B829" s="13" t="str">
        <f>HYPERLINK("https://parts-sales.ru/parts/MAN/06562543706","Уплотнение 40X68X1,0-AFOE4-M3219-G1")</f>
        <v>Уплотнение 40X68X1,0-AFOE4-M3219-G1</v>
      </c>
      <c r="C829" s="5" t="s">
        <v>6</v>
      </c>
      <c r="D829" s="6">
        <v>1164</v>
      </c>
      <c r="E829" s="6">
        <v>364</v>
      </c>
      <c r="F829" s="9">
        <v>0.69</v>
      </c>
      <c r="H829" s="11"/>
      <c r="I829" s="11"/>
      <c r="J829" s="11"/>
    </row>
    <row r="830" spans="1:10" ht="15.75" x14ac:dyDescent="0.3">
      <c r="A830" s="12" t="str">
        <f>HYPERLINK("https://parts-sales.ru/parts/MAN/06562790138","06.56279-0138")</f>
        <v>06.56279-0138</v>
      </c>
      <c r="B830" s="12" t="str">
        <f>HYPERLINK("https://parts-sales.ru/parts/MAN/06562790138","Радиальное уплотнение вала B50X65X8-NBR")</f>
        <v>Радиальное уплотнение вала B50X65X8-NBR</v>
      </c>
      <c r="C830" s="3" t="s">
        <v>6</v>
      </c>
      <c r="D830" s="4">
        <v>3853.15</v>
      </c>
      <c r="E830" s="4">
        <v>433</v>
      </c>
      <c r="F830" s="8">
        <v>0.89</v>
      </c>
      <c r="H830" s="11"/>
      <c r="I830" s="11"/>
      <c r="J830" s="11"/>
    </row>
    <row r="831" spans="1:10" ht="15.75" x14ac:dyDescent="0.3">
      <c r="A831" s="13" t="str">
        <f>HYPERLINK("https://parts-sales.ru/parts/MAN/06562790368","06.56279-0368")</f>
        <v>06.56279-0368</v>
      </c>
      <c r="B831" s="13" t="str">
        <f>HYPERLINK("https://parts-sales.ru/parts/MAN/06562790368","Радиальное уплотнение вала AS55X70X8-FPM")</f>
        <v>Радиальное уплотнение вала AS55X70X8-FPM</v>
      </c>
      <c r="C831" s="5" t="s">
        <v>6</v>
      </c>
      <c r="D831" s="6">
        <v>8724</v>
      </c>
      <c r="E831" s="6">
        <v>5146</v>
      </c>
      <c r="F831" s="9">
        <v>0.41</v>
      </c>
      <c r="H831" s="11"/>
      <c r="I831" s="11"/>
      <c r="J831" s="11"/>
    </row>
    <row r="832" spans="1:10" ht="15.75" x14ac:dyDescent="0.3">
      <c r="A832" s="12" t="str">
        <f>HYPERLINK("https://parts-sales.ru/parts/MAN/06562890353","06.56289-0353")</f>
        <v>06.56289-0353</v>
      </c>
      <c r="B832" s="12" t="str">
        <f>HYPERLINK("https://parts-sales.ru/parts/MAN/06562890353","Радиальное уплотнение вала BS80X100X10-N")</f>
        <v>Радиальное уплотнение вала BS80X100X10-N</v>
      </c>
      <c r="C832" s="3" t="s">
        <v>6</v>
      </c>
      <c r="D832" s="4">
        <v>5870.4</v>
      </c>
      <c r="E832" s="4">
        <v>1528</v>
      </c>
      <c r="F832" s="8">
        <v>0.74</v>
      </c>
      <c r="H832" s="11"/>
      <c r="I832" s="11"/>
      <c r="J832" s="11"/>
    </row>
    <row r="833" spans="1:10" ht="15.75" x14ac:dyDescent="0.3">
      <c r="A833" s="13" t="str">
        <f>HYPERLINK("https://parts-sales.ru/parts/MAN/06562890369","06.56289-0369")</f>
        <v>06.56289-0369</v>
      </c>
      <c r="B833" s="13" t="str">
        <f>HYPERLINK("https://parts-sales.ru/parts/MAN/06562890369","Радиальное уплотнение вала B100X130X12-F")</f>
        <v>Радиальное уплотнение вала B100X130X12-F</v>
      </c>
      <c r="C833" s="5" t="s">
        <v>6</v>
      </c>
      <c r="D833" s="6">
        <v>7270.8</v>
      </c>
      <c r="E833" s="6">
        <v>1788</v>
      </c>
      <c r="F833" s="9">
        <v>0.75</v>
      </c>
      <c r="H833" s="11"/>
      <c r="I833" s="11"/>
      <c r="J833" s="11"/>
    </row>
    <row r="834" spans="1:10" ht="15.75" x14ac:dyDescent="0.3">
      <c r="A834" s="12" t="str">
        <f>HYPERLINK("https://parts-sales.ru/parts/MAN/06563310246","06.56331-0246")</f>
        <v>06.56331-0246</v>
      </c>
      <c r="B834" s="12" t="str">
        <f>HYPERLINK("https://parts-sales.ru/parts/MAN/06563310246","Круглое уплотнение 19X3,5B-NBR3-70")</f>
        <v>Круглое уплотнение 19X3,5B-NBR3-70</v>
      </c>
      <c r="C834" s="3" t="s">
        <v>6</v>
      </c>
      <c r="D834" s="4">
        <v>1046.4000000000001</v>
      </c>
      <c r="E834" s="4">
        <v>69</v>
      </c>
      <c r="F834" s="8">
        <v>0.93</v>
      </c>
      <c r="H834" s="11"/>
      <c r="I834" s="11"/>
      <c r="J834" s="11"/>
    </row>
    <row r="835" spans="1:10" ht="15.75" x14ac:dyDescent="0.3">
      <c r="A835" s="13" t="str">
        <f>HYPERLINK("https://parts-sales.ru/parts/MAN/06563310306","06.56331-0306")</f>
        <v>06.56331-0306</v>
      </c>
      <c r="B835" s="13" t="str">
        <f>HYPERLINK("https://parts-sales.ru/parts/MAN/06563310306","Круглое уплотнение 4X2B-NBR3-80")</f>
        <v>Круглое уплотнение 4X2B-NBR3-80</v>
      </c>
      <c r="C835" s="5" t="s">
        <v>6</v>
      </c>
      <c r="D835" s="6">
        <v>2103.6</v>
      </c>
      <c r="E835" s="6">
        <v>477</v>
      </c>
      <c r="F835" s="9">
        <v>0.77</v>
      </c>
      <c r="H835" s="11"/>
      <c r="I835" s="11"/>
      <c r="J835" s="11"/>
    </row>
    <row r="836" spans="1:10" ht="15.75" x14ac:dyDescent="0.3">
      <c r="A836" s="12" t="str">
        <f>HYPERLINK("https://parts-sales.ru/parts/MAN/06563312245","06.56331-2245")</f>
        <v>06.56331-2245</v>
      </c>
      <c r="B836" s="12" t="str">
        <f>HYPERLINK("https://parts-sales.ru/parts/MAN/06563312245","Круглое уплотнение 19X2,5B-NBR3-70")</f>
        <v>Круглое уплотнение 19X2,5B-NBR3-70</v>
      </c>
      <c r="C836" s="3" t="s">
        <v>6</v>
      </c>
      <c r="D836" s="4">
        <v>39.6</v>
      </c>
      <c r="E836" s="4">
        <v>1</v>
      </c>
      <c r="F836" s="8">
        <v>0.97</v>
      </c>
      <c r="H836" s="11"/>
      <c r="I836" s="11"/>
      <c r="J836" s="11"/>
    </row>
    <row r="837" spans="1:10" ht="15.75" x14ac:dyDescent="0.3">
      <c r="A837" s="13" t="str">
        <f>HYPERLINK("https://parts-sales.ru/parts/MAN/06563313274","06.56331-3274")</f>
        <v>06.56331-3274</v>
      </c>
      <c r="B837" s="13" t="str">
        <f>HYPERLINK("https://parts-sales.ru/parts/MAN/06563313274","Круглое уплотнение 36X5B-NBR3-70")</f>
        <v>Круглое уплотнение 36X5B-NBR3-70</v>
      </c>
      <c r="C837" s="5" t="s">
        <v>6</v>
      </c>
      <c r="D837" s="6">
        <v>1212</v>
      </c>
      <c r="E837" s="6">
        <v>254</v>
      </c>
      <c r="F837" s="9">
        <v>0.79</v>
      </c>
      <c r="H837" s="11"/>
      <c r="I837" s="11"/>
      <c r="J837" s="11"/>
    </row>
    <row r="838" spans="1:10" ht="15.75" x14ac:dyDescent="0.3">
      <c r="A838" s="12" t="str">
        <f>HYPERLINK("https://parts-sales.ru/parts/MAN/06563314212","06.56331-4212")</f>
        <v>06.56331-4212</v>
      </c>
      <c r="B838" s="12" t="str">
        <f>HYPERLINK("https://parts-sales.ru/parts/MAN/06563314212","Круглое уплотнение 11X1,5-NBR3-70")</f>
        <v>Круглое уплотнение 11X1,5-NBR3-70</v>
      </c>
      <c r="C838" s="3" t="s">
        <v>6</v>
      </c>
      <c r="D838" s="4">
        <v>312</v>
      </c>
      <c r="E838" s="4">
        <v>61</v>
      </c>
      <c r="F838" s="8">
        <v>0.8</v>
      </c>
      <c r="H838" s="11"/>
      <c r="I838" s="11"/>
      <c r="J838" s="11"/>
    </row>
    <row r="839" spans="1:10" ht="15.75" x14ac:dyDescent="0.3">
      <c r="A839" s="13" t="str">
        <f>HYPERLINK("https://parts-sales.ru/parts/MAN/06563330154","06.56333-0154")</f>
        <v>06.56333-0154</v>
      </c>
      <c r="B839" s="13" t="str">
        <f>HYPERLINK("https://parts-sales.ru/parts/MAN/06563330154","Круглое уплотнение 23,3X2,4B-FPM1-60-GN")</f>
        <v>Круглое уплотнение 23,3X2,4B-FPM1-60-GN</v>
      </c>
      <c r="C839" s="5" t="s">
        <v>6</v>
      </c>
      <c r="D839" s="6">
        <v>651.6</v>
      </c>
      <c r="E839" s="6">
        <v>213</v>
      </c>
      <c r="F839" s="9">
        <v>0.67</v>
      </c>
      <c r="H839" s="11"/>
      <c r="I839" s="11"/>
      <c r="J839" s="11"/>
    </row>
    <row r="840" spans="1:10" ht="15.75" x14ac:dyDescent="0.3">
      <c r="A840" s="12" t="str">
        <f>HYPERLINK("https://parts-sales.ru/parts/MAN/06563331242","06.56333-1242")</f>
        <v>06.56333-1242</v>
      </c>
      <c r="B840" s="12" t="str">
        <f>HYPERLINK("https://parts-sales.ru/parts/MAN/06563331242","Круглое уплотнение 18,5X1,5B-FPM1-70-GN")</f>
        <v>Круглое уплотнение 18,5X1,5B-FPM1-70-GN</v>
      </c>
      <c r="C840" s="3" t="s">
        <v>6</v>
      </c>
      <c r="D840" s="4">
        <v>1767.6</v>
      </c>
      <c r="E840" s="4">
        <v>504</v>
      </c>
      <c r="F840" s="8">
        <v>0.71</v>
      </c>
      <c r="H840" s="11"/>
      <c r="I840" s="11"/>
      <c r="J840" s="11"/>
    </row>
    <row r="841" spans="1:10" ht="15.75" x14ac:dyDescent="0.3">
      <c r="A841" s="13" t="str">
        <f>HYPERLINK("https://parts-sales.ru/parts/MAN/06563333212","06.56333-3212")</f>
        <v>06.56333-3212</v>
      </c>
      <c r="B841" s="13" t="str">
        <f>HYPERLINK("https://parts-sales.ru/parts/MAN/06563333212","Круглое уплотнение 9,3X2,4B-FPM1-70-GN")</f>
        <v>Круглое уплотнение 9,3X2,4B-FPM1-70-GN</v>
      </c>
      <c r="C841" s="5" t="s">
        <v>6</v>
      </c>
      <c r="D841" s="6">
        <v>1478.4</v>
      </c>
      <c r="E841" s="6">
        <v>265</v>
      </c>
      <c r="F841" s="9">
        <v>0.82</v>
      </c>
      <c r="H841" s="11"/>
      <c r="I841" s="11"/>
      <c r="J841" s="11"/>
    </row>
    <row r="842" spans="1:10" ht="15.75" x14ac:dyDescent="0.3">
      <c r="A842" s="12" t="str">
        <f>HYPERLINK("https://parts-sales.ru/parts/MAN/06563333306","06.56333-3306")</f>
        <v>06.56333-3306</v>
      </c>
      <c r="B842" s="12" t="str">
        <f>HYPERLINK("https://parts-sales.ru/parts/MAN/06563333306","Круглое уплотнение 5X1,5B-FPM1-80-GN")</f>
        <v>Круглое уплотнение 5X1,5B-FPM1-80-GN</v>
      </c>
      <c r="C842" s="3" t="s">
        <v>6</v>
      </c>
      <c r="D842" s="4">
        <v>1212</v>
      </c>
      <c r="E842" s="4">
        <v>255</v>
      </c>
      <c r="F842" s="8">
        <v>0.79</v>
      </c>
      <c r="H842" s="11"/>
      <c r="I842" s="11"/>
      <c r="J842" s="11"/>
    </row>
    <row r="843" spans="1:10" ht="15.75" x14ac:dyDescent="0.3">
      <c r="A843" s="13" t="str">
        <f>HYPERLINK("https://parts-sales.ru/parts/MAN/06563333359","06.56333-3359")</f>
        <v>06.56333-3359</v>
      </c>
      <c r="B843" s="13" t="str">
        <f>HYPERLINK("https://parts-sales.ru/parts/MAN/06563333359","Круглое уплотнение 26X2B-FPM1-80-GN")</f>
        <v>Круглое уплотнение 26X2B-FPM1-80-GN</v>
      </c>
      <c r="C843" s="5" t="s">
        <v>6</v>
      </c>
      <c r="D843" s="6">
        <v>1527.6</v>
      </c>
      <c r="E843" s="6">
        <v>223</v>
      </c>
      <c r="F843" s="9">
        <v>0.85</v>
      </c>
      <c r="H843" s="11"/>
      <c r="I843" s="11"/>
      <c r="J843" s="11"/>
    </row>
    <row r="844" spans="1:10" ht="15.75" x14ac:dyDescent="0.3">
      <c r="A844" s="12" t="str">
        <f>HYPERLINK("https://parts-sales.ru/parts/MAN/06563410234","06.56341-0234")</f>
        <v>06.56341-0234</v>
      </c>
      <c r="B844" s="12" t="str">
        <f>HYPERLINK("https://parts-sales.ru/parts/MAN/06563410234","Круглое уплотнение 87X3B-NBR3-70")</f>
        <v>Круглое уплотнение 87X3B-NBR3-70</v>
      </c>
      <c r="C844" s="3" t="s">
        <v>6</v>
      </c>
      <c r="D844" s="4">
        <v>708</v>
      </c>
      <c r="E844" s="4">
        <v>190</v>
      </c>
      <c r="F844" s="8">
        <v>0.73</v>
      </c>
      <c r="H844" s="11"/>
      <c r="I844" s="11"/>
      <c r="J844" s="11"/>
    </row>
    <row r="845" spans="1:10" ht="15.75" x14ac:dyDescent="0.3">
      <c r="A845" s="13" t="str">
        <f>HYPERLINK("https://parts-sales.ru/parts/MAN/06563414239","06.56341-4239")</f>
        <v>06.56341-4239</v>
      </c>
      <c r="B845" s="13" t="str">
        <f>HYPERLINK("https://parts-sales.ru/parts/MAN/06563414239","Круглое уплотнение 101,32X1,78B-NBR3-70")</f>
        <v>Круглое уплотнение 101,32X1,78B-NBR3-70</v>
      </c>
      <c r="C845" s="5" t="s">
        <v>6</v>
      </c>
      <c r="D845" s="6">
        <v>2252.4</v>
      </c>
      <c r="E845" s="6">
        <v>388</v>
      </c>
      <c r="F845" s="9">
        <v>0.83</v>
      </c>
      <c r="H845" s="11"/>
      <c r="I845" s="11"/>
      <c r="J845" s="11"/>
    </row>
    <row r="846" spans="1:10" ht="15.75" x14ac:dyDescent="0.3">
      <c r="A846" s="12" t="str">
        <f>HYPERLINK("https://parts-sales.ru/parts/MAN/06563420331","06.56342-0331")</f>
        <v>06.56342-0331</v>
      </c>
      <c r="B846" s="12" t="str">
        <f>HYPERLINK("https://parts-sales.ru/parts/MAN/06563420331","Круглое уплотнение 80X3B-ACM1-80")</f>
        <v>Круглое уплотнение 80X3B-ACM1-80</v>
      </c>
      <c r="C846" s="3" t="s">
        <v>6</v>
      </c>
      <c r="D846" s="4">
        <v>2611.1999999999998</v>
      </c>
      <c r="E846" s="4">
        <v>596</v>
      </c>
      <c r="F846" s="8">
        <v>0.77</v>
      </c>
      <c r="H846" s="11"/>
      <c r="I846" s="11"/>
      <c r="J846" s="11"/>
    </row>
    <row r="847" spans="1:10" ht="15.75" x14ac:dyDescent="0.3">
      <c r="A847" s="13" t="str">
        <f>HYPERLINK("https://parts-sales.ru/parts/MAN/06563432216","06.56343-2216")</f>
        <v>06.56343-2216</v>
      </c>
      <c r="B847" s="13" t="str">
        <f>HYPERLINK("https://parts-sales.ru/parts/MAN/06563432216","Круглое уплотнение 68X4B-FPM1-70-GN")</f>
        <v>Круглое уплотнение 68X4B-FPM1-70-GN</v>
      </c>
      <c r="C847" s="5" t="s">
        <v>6</v>
      </c>
      <c r="D847" s="6">
        <v>3144</v>
      </c>
      <c r="E847" s="6">
        <v>1117</v>
      </c>
      <c r="F847" s="9">
        <v>0.64</v>
      </c>
      <c r="H847" s="11"/>
      <c r="I847" s="11"/>
      <c r="J847" s="11"/>
    </row>
    <row r="848" spans="1:10" ht="15.75" x14ac:dyDescent="0.3">
      <c r="A848" s="12" t="str">
        <f>HYPERLINK("https://parts-sales.ru/parts/MAN/06563433237","06.56343-3237")</f>
        <v>06.56343-3237</v>
      </c>
      <c r="B848" s="12" t="str">
        <f>HYPERLINK("https://parts-sales.ru/parts/MAN/06563433237","Круглое уплотнение 96X3B-FPM1-70-GN")</f>
        <v>Круглое уплотнение 96X3B-FPM1-70-GN</v>
      </c>
      <c r="C848" s="3" t="s">
        <v>6</v>
      </c>
      <c r="D848" s="4">
        <v>3948</v>
      </c>
      <c r="E848" s="4">
        <v>776</v>
      </c>
      <c r="F848" s="8">
        <v>0.8</v>
      </c>
      <c r="H848" s="11"/>
      <c r="I848" s="11"/>
      <c r="J848" s="11"/>
    </row>
    <row r="849" spans="1:10" ht="15.75" x14ac:dyDescent="0.3">
      <c r="A849" s="13" t="str">
        <f>HYPERLINK("https://parts-sales.ru/parts/MAN/06563490180","06.56349-0180")</f>
        <v>06.56349-0180</v>
      </c>
      <c r="B849" s="13" t="str">
        <f>HYPERLINK("https://parts-sales.ru/parts/MAN/06563490180","Круглое уплотнение 90X7-NBR--60")</f>
        <v>Круглое уплотнение 90X7-NBR--60</v>
      </c>
      <c r="C849" s="5" t="s">
        <v>6</v>
      </c>
      <c r="D849" s="6">
        <v>3969.6</v>
      </c>
      <c r="E849" s="6">
        <v>722</v>
      </c>
      <c r="F849" s="9">
        <v>0.82</v>
      </c>
      <c r="H849" s="11"/>
      <c r="I849" s="11"/>
      <c r="J849" s="11"/>
    </row>
    <row r="850" spans="1:10" ht="15.75" x14ac:dyDescent="0.3">
      <c r="A850" s="12" t="str">
        <f>HYPERLINK("https://parts-sales.ru/parts/MAN/06566310104","06.56631-0104")</f>
        <v>06.56631-0104</v>
      </c>
      <c r="B850" s="12" t="str">
        <f>HYPERLINK("https://parts-sales.ru/parts/MAN/06566310104","Уплотнительное кольцо 10,7X16X1,5-ST/FPM")</f>
        <v>Уплотнительное кольцо 10,7X16X1,5-ST/FPM</v>
      </c>
      <c r="C850" s="3" t="s">
        <v>6</v>
      </c>
      <c r="D850" s="4">
        <v>1063.2</v>
      </c>
      <c r="E850" s="4">
        <v>239</v>
      </c>
      <c r="F850" s="8">
        <v>0.78</v>
      </c>
      <c r="H850" s="11"/>
      <c r="I850" s="11"/>
      <c r="J850" s="11"/>
    </row>
    <row r="851" spans="1:10" ht="15.75" x14ac:dyDescent="0.3">
      <c r="A851" s="13" t="str">
        <f>HYPERLINK("https://parts-sales.ru/parts/MAN/06566310112","06.56631-0112")</f>
        <v>06.56631-0112</v>
      </c>
      <c r="B851" s="13" t="str">
        <f>HYPERLINK("https://parts-sales.ru/parts/MAN/06566310112","Уплотнительное кольцо 26,7X34,93X2-ST/FP")</f>
        <v>Уплотнительное кольцо 26,7X34,93X2-ST/FP</v>
      </c>
      <c r="C851" s="5" t="s">
        <v>6</v>
      </c>
      <c r="D851" s="6">
        <v>794.4</v>
      </c>
      <c r="E851" s="6">
        <v>18</v>
      </c>
      <c r="F851" s="9">
        <v>0.98</v>
      </c>
      <c r="H851" s="11"/>
      <c r="I851" s="11"/>
      <c r="J851" s="11"/>
    </row>
    <row r="852" spans="1:10" ht="15.75" x14ac:dyDescent="0.3">
      <c r="A852" s="12" t="str">
        <f>HYPERLINK("https://parts-sales.ru/parts/MAN/06566310126","06.56631-0126")</f>
        <v>06.56631-0126</v>
      </c>
      <c r="B852" s="12" t="str">
        <f>HYPERLINK("https://parts-sales.ru/parts/MAN/06566310126","Уплотнительное кольцо 32,7X40X2,0-ST/FPM")</f>
        <v>Уплотнительное кольцо 32,7X40X2,0-ST/FPM</v>
      </c>
      <c r="C852" s="3" t="s">
        <v>6</v>
      </c>
      <c r="D852" s="4">
        <v>1767.6</v>
      </c>
      <c r="E852" s="4">
        <v>378</v>
      </c>
      <c r="F852" s="8">
        <v>0.79</v>
      </c>
      <c r="H852" s="11"/>
      <c r="I852" s="11"/>
      <c r="J852" s="11"/>
    </row>
    <row r="853" spans="1:10" ht="15.75" x14ac:dyDescent="0.3">
      <c r="A853" s="13" t="str">
        <f>HYPERLINK("https://parts-sales.ru/parts/MAN/06566390017","06.56639-0017")</f>
        <v>06.56639-0017</v>
      </c>
      <c r="B853" s="13" t="str">
        <f>HYPERLINK("https://parts-sales.ru/parts/MAN/06566390017","Уплотнительное кольцо 14X22X1,5-ST/FPM1-")</f>
        <v>Уплотнительное кольцо 14X22X1,5-ST/FPM1-</v>
      </c>
      <c r="C853" s="5" t="s">
        <v>6</v>
      </c>
      <c r="D853" s="6">
        <v>699.6</v>
      </c>
      <c r="E853" s="6">
        <v>30</v>
      </c>
      <c r="F853" s="9">
        <v>0.96</v>
      </c>
      <c r="H853" s="11"/>
      <c r="I853" s="11"/>
      <c r="J853" s="11"/>
    </row>
    <row r="854" spans="1:10" ht="15.75" x14ac:dyDescent="0.3">
      <c r="A854" s="12" t="str">
        <f>HYPERLINK("https://parts-sales.ru/parts/MAN/06566390026","06.56639-0026")</f>
        <v>06.56639-0026</v>
      </c>
      <c r="B854" s="12" t="str">
        <f>HYPERLINK("https://parts-sales.ru/parts/MAN/06566390026","Уплотнительное кольцо 12,3X18X1,8-ST/FKM")</f>
        <v>Уплотнительное кольцо 12,3X18X1,8-ST/FKM</v>
      </c>
      <c r="C854" s="3" t="s">
        <v>6</v>
      </c>
      <c r="D854" s="4">
        <v>627.6</v>
      </c>
      <c r="E854" s="4">
        <v>148</v>
      </c>
      <c r="F854" s="8">
        <v>0.76</v>
      </c>
      <c r="H854" s="11"/>
      <c r="I854" s="11"/>
      <c r="J854" s="11"/>
    </row>
    <row r="855" spans="1:10" ht="15.75" x14ac:dyDescent="0.3">
      <c r="A855" s="13" t="str">
        <f>HYPERLINK("https://parts-sales.ru/parts/MAN/06566390028","06.56639-0028")</f>
        <v>06.56639-0028</v>
      </c>
      <c r="B855" s="13" t="str">
        <f>HYPERLINK("https://parts-sales.ru/parts/MAN/06566390028","Уплотнительное кольцо 16,3X24X1,9-ST/FKM")</f>
        <v>Уплотнительное кольцо 16,3X24X1,9-ST/FKM</v>
      </c>
      <c r="C855" s="5" t="s">
        <v>6</v>
      </c>
      <c r="D855" s="6">
        <v>628.79999999999995</v>
      </c>
      <c r="E855" s="6">
        <v>170</v>
      </c>
      <c r="F855" s="9">
        <v>0.73</v>
      </c>
      <c r="H855" s="11"/>
      <c r="I855" s="11"/>
      <c r="J855" s="11"/>
    </row>
    <row r="856" spans="1:10" ht="15.75" x14ac:dyDescent="0.3">
      <c r="A856" s="12" t="str">
        <f>HYPERLINK("https://parts-sales.ru/parts/MAN/06566390029","06.56639-0029")</f>
        <v>06.56639-0029</v>
      </c>
      <c r="B856" s="12" t="str">
        <f>HYPERLINK("https://parts-sales.ru/parts/MAN/06566390029","Уплотнительное кольцо 18,3X26X1,9-ST/FKM")</f>
        <v>Уплотнительное кольцо 18,3X26X1,9-ST/FKM</v>
      </c>
      <c r="C856" s="3" t="s">
        <v>6</v>
      </c>
      <c r="D856" s="4">
        <v>648</v>
      </c>
      <c r="E856" s="4">
        <v>156</v>
      </c>
      <c r="F856" s="8">
        <v>0.76</v>
      </c>
      <c r="H856" s="11"/>
      <c r="I856" s="11"/>
      <c r="J856" s="11"/>
    </row>
    <row r="857" spans="1:10" ht="15.75" x14ac:dyDescent="0.3">
      <c r="A857" s="13" t="str">
        <f>HYPERLINK("https://parts-sales.ru/parts/MAN/06569300419","06.56930-0419")</f>
        <v>06.56930-0419</v>
      </c>
      <c r="B857" s="13" t="str">
        <f>HYPERLINK("https://parts-sales.ru/parts/MAN/06569300419","Круглое уплотнение 8X4,5N-NBR3-70")</f>
        <v>Круглое уплотнение 8X4,5N-NBR3-70</v>
      </c>
      <c r="C857" s="5" t="s">
        <v>6</v>
      </c>
      <c r="D857" s="6">
        <v>1212</v>
      </c>
      <c r="E857" s="6">
        <v>274</v>
      </c>
      <c r="F857" s="9">
        <v>0.77</v>
      </c>
      <c r="H857" s="11"/>
      <c r="I857" s="11"/>
      <c r="J857" s="11"/>
    </row>
    <row r="858" spans="1:10" ht="15.75" x14ac:dyDescent="0.3">
      <c r="A858" s="12" t="str">
        <f>HYPERLINK("https://parts-sales.ru/parts/MAN/06569301358","06.56930-1358")</f>
        <v>06.56930-1358</v>
      </c>
      <c r="B858" s="12" t="str">
        <f>HYPERLINK("https://parts-sales.ru/parts/MAN/06569301358","Круглое уплотнение 26X2,5N-NBR3-70")</f>
        <v>Круглое уплотнение 26X2,5N-NBR3-70</v>
      </c>
      <c r="C858" s="3" t="s">
        <v>6</v>
      </c>
      <c r="D858" s="4">
        <v>1276.8</v>
      </c>
      <c r="E858" s="4">
        <v>704</v>
      </c>
      <c r="F858" s="8">
        <v>0.45</v>
      </c>
      <c r="H858" s="11"/>
      <c r="I858" s="11"/>
      <c r="J858" s="11"/>
    </row>
    <row r="859" spans="1:10" ht="15.75" x14ac:dyDescent="0.3">
      <c r="A859" s="13" t="str">
        <f>HYPERLINK("https://parts-sales.ru/parts/MAN/06569302083","06.56930-2083")</f>
        <v>06.56930-2083</v>
      </c>
      <c r="B859" s="13" t="str">
        <f>HYPERLINK("https://parts-sales.ru/parts/MAN/06569302083","Круглое уплотнение 45X6-NBR3-70")</f>
        <v>Круглое уплотнение 45X6-NBR3-70</v>
      </c>
      <c r="C859" s="5" t="s">
        <v>6</v>
      </c>
      <c r="D859" s="6">
        <v>1212</v>
      </c>
      <c r="E859" s="6">
        <v>371</v>
      </c>
      <c r="F859" s="9">
        <v>0.69</v>
      </c>
      <c r="H859" s="11"/>
      <c r="I859" s="11"/>
      <c r="J859" s="11"/>
    </row>
    <row r="860" spans="1:10" ht="15.75" x14ac:dyDescent="0.3">
      <c r="A860" s="12" t="str">
        <f>HYPERLINK("https://parts-sales.ru/parts/MAN/06569302107","06.56930-2107")</f>
        <v>06.56930-2107</v>
      </c>
      <c r="B860" s="12" t="str">
        <f>HYPERLINK("https://parts-sales.ru/parts/MAN/06569302107","Круглое уплотнение 46X3N-NBR3-70")</f>
        <v>Круглое уплотнение 46X3N-NBR3-70</v>
      </c>
      <c r="C860" s="3" t="s">
        <v>6</v>
      </c>
      <c r="D860" s="4">
        <v>668.4</v>
      </c>
      <c r="E860" s="4">
        <v>248</v>
      </c>
      <c r="F860" s="8">
        <v>0.63</v>
      </c>
      <c r="H860" s="11"/>
      <c r="I860" s="11"/>
      <c r="J860" s="11"/>
    </row>
    <row r="861" spans="1:10" ht="15.75" x14ac:dyDescent="0.3">
      <c r="A861" s="13" t="str">
        <f>HYPERLINK("https://parts-sales.ru/parts/MAN/06569302300","06.56930-2300")</f>
        <v>06.56930-2300</v>
      </c>
      <c r="B861" s="13" t="str">
        <f>HYPERLINK("https://parts-sales.ru/parts/MAN/06569302300","Круглое уплотнение 54X4N-NBR3-70")</f>
        <v>Круглое уплотнение 54X4N-NBR3-70</v>
      </c>
      <c r="C861" s="5" t="s">
        <v>6</v>
      </c>
      <c r="D861" s="6">
        <v>916.8</v>
      </c>
      <c r="E861" s="6">
        <v>128</v>
      </c>
      <c r="F861" s="9">
        <v>0.86</v>
      </c>
      <c r="H861" s="11"/>
      <c r="I861" s="11"/>
      <c r="J861" s="11"/>
    </row>
    <row r="862" spans="1:10" ht="15.75" x14ac:dyDescent="0.3">
      <c r="A862" s="12" t="str">
        <f>HYPERLINK("https://parts-sales.ru/parts/MAN/06569302459","06.56930-2459")</f>
        <v>06.56930-2459</v>
      </c>
      <c r="B862" s="12" t="str">
        <f>HYPERLINK("https://parts-sales.ru/parts/MAN/06569302459","Круглое уплотнение 62X3N-NBR3-70")</f>
        <v>Круглое уплотнение 62X3N-NBR3-70</v>
      </c>
      <c r="C862" s="3" t="s">
        <v>6</v>
      </c>
      <c r="D862" s="4">
        <v>1046.4000000000001</v>
      </c>
      <c r="E862" s="4">
        <v>211</v>
      </c>
      <c r="F862" s="8">
        <v>0.8</v>
      </c>
      <c r="H862" s="11"/>
      <c r="I862" s="11"/>
      <c r="J862" s="11"/>
    </row>
    <row r="863" spans="1:10" ht="15.75" x14ac:dyDescent="0.3">
      <c r="A863" s="13" t="str">
        <f>HYPERLINK("https://parts-sales.ru/parts/MAN/06569302686","06.56930-2686")</f>
        <v>06.56930-2686</v>
      </c>
      <c r="B863" s="13" t="str">
        <f>HYPERLINK("https://parts-sales.ru/parts/MAN/06569302686","Круглое уплотнение 72X5N-NBR3-70")</f>
        <v>Круглое уплотнение 72X5N-NBR3-70</v>
      </c>
      <c r="C863" s="5" t="s">
        <v>6</v>
      </c>
      <c r="D863" s="6">
        <v>2799.6</v>
      </c>
      <c r="E863" s="6">
        <v>795</v>
      </c>
      <c r="F863" s="9">
        <v>0.72</v>
      </c>
      <c r="H863" s="11"/>
      <c r="I863" s="11"/>
      <c r="J863" s="11"/>
    </row>
    <row r="864" spans="1:10" ht="15.75" x14ac:dyDescent="0.3">
      <c r="A864" s="12" t="str">
        <f>HYPERLINK("https://parts-sales.ru/parts/MAN/06569302707","06.56930-2707")</f>
        <v>06.56930-2707</v>
      </c>
      <c r="B864" s="12" t="str">
        <f>HYPERLINK("https://parts-sales.ru/parts/MAN/06569302707","Круглое уплотнение 73X2N-NBR3-70")</f>
        <v>Круглое уплотнение 73X2N-NBR3-70</v>
      </c>
      <c r="C864" s="3" t="s">
        <v>6</v>
      </c>
      <c r="D864" s="4">
        <v>928.8</v>
      </c>
      <c r="E864" s="4">
        <v>320</v>
      </c>
      <c r="F864" s="8">
        <v>0.66</v>
      </c>
      <c r="H864" s="11"/>
      <c r="I864" s="11"/>
      <c r="J864" s="11"/>
    </row>
    <row r="865" spans="1:10" ht="15.75" x14ac:dyDescent="0.3">
      <c r="A865" s="13" t="str">
        <f>HYPERLINK("https://parts-sales.ru/parts/MAN/06569303036","06.56930-3036")</f>
        <v>06.56930-3036</v>
      </c>
      <c r="B865" s="13" t="str">
        <f>HYPERLINK("https://parts-sales.ru/parts/MAN/06569303036","Круглое уплотнение 88X5-NBR3-70")</f>
        <v>Круглое уплотнение 88X5-NBR3-70</v>
      </c>
      <c r="C865" s="5" t="s">
        <v>6</v>
      </c>
      <c r="D865" s="6">
        <v>2827.2</v>
      </c>
      <c r="E865" s="6">
        <v>1001</v>
      </c>
      <c r="F865" s="9">
        <v>0.65</v>
      </c>
      <c r="H865" s="11"/>
      <c r="I865" s="11"/>
      <c r="J865" s="11"/>
    </row>
    <row r="866" spans="1:10" ht="15.75" x14ac:dyDescent="0.3">
      <c r="A866" s="12" t="str">
        <f>HYPERLINK("https://parts-sales.ru/parts/MAN/06569303081","06.56930-3081")</f>
        <v>06.56930-3081</v>
      </c>
      <c r="B866" s="12" t="str">
        <f>HYPERLINK("https://parts-sales.ru/parts/MAN/06569303081","Круглое уплотнение 90X5N-NBR3-70")</f>
        <v>Круглое уплотнение 90X5N-NBR3-70</v>
      </c>
      <c r="C866" s="3" t="s">
        <v>6</v>
      </c>
      <c r="D866" s="4">
        <v>4047.6</v>
      </c>
      <c r="E866" s="4">
        <v>895</v>
      </c>
      <c r="F866" s="8">
        <v>0.78</v>
      </c>
      <c r="H866" s="11"/>
      <c r="I866" s="11"/>
      <c r="J866" s="11"/>
    </row>
    <row r="867" spans="1:10" ht="15.75" x14ac:dyDescent="0.3">
      <c r="A867" s="13" t="str">
        <f>HYPERLINK("https://parts-sales.ru/parts/MAN/06569303084","06.56930-3084")</f>
        <v>06.56930-3084</v>
      </c>
      <c r="B867" s="13" t="str">
        <f>HYPERLINK("https://parts-sales.ru/parts/MAN/06569303084","Круглое уплотнение 90X6N-NBR3-70")</f>
        <v>Круглое уплотнение 90X6N-NBR3-70</v>
      </c>
      <c r="C867" s="5" t="s">
        <v>6</v>
      </c>
      <c r="D867" s="6">
        <v>1124.4000000000001</v>
      </c>
      <c r="E867" s="6">
        <v>351</v>
      </c>
      <c r="F867" s="9">
        <v>0.69</v>
      </c>
      <c r="H867" s="11"/>
      <c r="I867" s="11"/>
      <c r="J867" s="11"/>
    </row>
    <row r="868" spans="1:10" ht="15.75" x14ac:dyDescent="0.3">
      <c r="A868" s="12" t="str">
        <f>HYPERLINK("https://parts-sales.ru/parts/MAN/06569303879","06.56930-3879")</f>
        <v>06.56930-3879</v>
      </c>
      <c r="B868" s="12" t="str">
        <f>HYPERLINK("https://parts-sales.ru/parts/MAN/06569303879","Круглое уплотнение 138X3N-NBR3-70")</f>
        <v>Круглое уплотнение 138X3N-NBR3-70</v>
      </c>
      <c r="C868" s="3" t="s">
        <v>6</v>
      </c>
      <c r="D868" s="4">
        <v>1644</v>
      </c>
      <c r="E868" s="4">
        <v>511</v>
      </c>
      <c r="F868" s="8">
        <v>0.69</v>
      </c>
      <c r="H868" s="11"/>
      <c r="I868" s="11"/>
      <c r="J868" s="11"/>
    </row>
    <row r="869" spans="1:10" ht="15.75" x14ac:dyDescent="0.3">
      <c r="A869" s="13" t="str">
        <f>HYPERLINK("https://parts-sales.ru/parts/MAN/06569311640","06.56931-1640")</f>
        <v>06.56931-1640</v>
      </c>
      <c r="B869" s="13" t="str">
        <f>HYPERLINK("https://parts-sales.ru/parts/MAN/06569311640","Круглое уплотнение 32,92X3,53-NBR3-90")</f>
        <v>Круглое уплотнение 32,92X3,53-NBR3-90</v>
      </c>
      <c r="C869" s="5" t="s">
        <v>6</v>
      </c>
      <c r="D869" s="6">
        <v>1713.6</v>
      </c>
      <c r="E869" s="6">
        <v>332</v>
      </c>
      <c r="F869" s="9">
        <v>0.81</v>
      </c>
      <c r="H869" s="11"/>
      <c r="I869" s="11"/>
      <c r="J869" s="11"/>
    </row>
    <row r="870" spans="1:10" ht="15.75" x14ac:dyDescent="0.3">
      <c r="A870" s="12" t="str">
        <f>HYPERLINK("https://parts-sales.ru/parts/MAN/06569312143","06.56931-2143")</f>
        <v>06.56931-2143</v>
      </c>
      <c r="B870" s="12" t="str">
        <f>HYPERLINK("https://parts-sales.ru/parts/MAN/06569312143","Круглое уплотнение 47,22X3,53N-NBR3-90")</f>
        <v>Круглое уплотнение 47,22X3,53N-NBR3-90</v>
      </c>
      <c r="C870" s="3" t="s">
        <v>6</v>
      </c>
      <c r="D870" s="4">
        <v>1212</v>
      </c>
      <c r="E870" s="4">
        <v>185</v>
      </c>
      <c r="F870" s="8">
        <v>0.85</v>
      </c>
      <c r="H870" s="11"/>
      <c r="I870" s="11"/>
      <c r="J870" s="11"/>
    </row>
    <row r="871" spans="1:10" ht="15.75" x14ac:dyDescent="0.3">
      <c r="A871" s="13" t="str">
        <f>HYPERLINK("https://parts-sales.ru/parts/MAN/06569332407","06.56933-2407")</f>
        <v>06.56933-2407</v>
      </c>
      <c r="B871" s="13" t="str">
        <f>HYPERLINK("https://parts-sales.ru/parts/MAN/06569332407","Круглое уплотнение 59,2X5,7-ACM1-70")</f>
        <v>Круглое уплотнение 59,2X5,7-ACM1-70</v>
      </c>
      <c r="C871" s="5" t="s">
        <v>6</v>
      </c>
      <c r="D871" s="6">
        <v>3144</v>
      </c>
      <c r="E871" s="6">
        <v>697</v>
      </c>
      <c r="F871" s="9">
        <v>0.78</v>
      </c>
      <c r="H871" s="11"/>
      <c r="I871" s="11"/>
      <c r="J871" s="11"/>
    </row>
    <row r="872" spans="1:10" ht="15.75" x14ac:dyDescent="0.3">
      <c r="A872" s="12" t="str">
        <f>HYPERLINK("https://parts-sales.ru/parts/MAN/06569360288","06.56936-0288")</f>
        <v>06.56936-0288</v>
      </c>
      <c r="B872" s="12" t="str">
        <f>HYPERLINK("https://parts-sales.ru/parts/MAN/06569360288","Круглое уплотнение 6X1,5N-FKM1-70-GN")</f>
        <v>Круглое уплотнение 6X1,5N-FKM1-70-GN</v>
      </c>
      <c r="C872" s="3" t="s">
        <v>6</v>
      </c>
      <c r="D872" s="4">
        <v>2145.6</v>
      </c>
      <c r="E872" s="4">
        <v>403</v>
      </c>
      <c r="F872" s="8">
        <v>0.81</v>
      </c>
      <c r="H872" s="11"/>
      <c r="I872" s="11"/>
      <c r="J872" s="11"/>
    </row>
    <row r="873" spans="1:10" ht="15.75" x14ac:dyDescent="0.3">
      <c r="A873" s="13" t="str">
        <f>HYPERLINK("https://parts-sales.ru/parts/MAN/06569360455","06.56936-0455")</f>
        <v>06.56936-0455</v>
      </c>
      <c r="B873" s="13" t="str">
        <f>HYPERLINK("https://parts-sales.ru/parts/MAN/06569360455","Круглое уплотнение 9X2N-FPM1-70-GN")</f>
        <v>Круглое уплотнение 9X2N-FPM1-70-GN</v>
      </c>
      <c r="C873" s="5" t="s">
        <v>6</v>
      </c>
      <c r="D873" s="6">
        <v>440.4</v>
      </c>
      <c r="E873" s="6">
        <v>105</v>
      </c>
      <c r="F873" s="9">
        <v>0.76</v>
      </c>
      <c r="H873" s="11"/>
      <c r="I873" s="11"/>
      <c r="J873" s="11"/>
    </row>
    <row r="874" spans="1:10" ht="15.75" x14ac:dyDescent="0.3">
      <c r="A874" s="12" t="str">
        <f>HYPERLINK("https://parts-sales.ru/parts/MAN/06569360519","06.56936-0519")</f>
        <v>06.56936-0519</v>
      </c>
      <c r="B874" s="12" t="str">
        <f>HYPERLINK("https://parts-sales.ru/parts/MAN/06569360519","Круглое уплотнение 10X2,5N-FPM1-70-GN")</f>
        <v>Круглое уплотнение 10X2,5N-FPM1-70-GN</v>
      </c>
      <c r="C874" s="3" t="s">
        <v>6</v>
      </c>
      <c r="D874" s="4">
        <v>3495.6</v>
      </c>
      <c r="E874" s="4">
        <v>813</v>
      </c>
      <c r="F874" s="8">
        <v>0.77</v>
      </c>
      <c r="H874" s="11"/>
      <c r="I874" s="11"/>
      <c r="J874" s="11"/>
    </row>
    <row r="875" spans="1:10" ht="15.75" x14ac:dyDescent="0.3">
      <c r="A875" s="13" t="str">
        <f>HYPERLINK("https://parts-sales.ru/parts/MAN/06569360676","06.56936-0676")</f>
        <v>06.56936-0676</v>
      </c>
      <c r="B875" s="13" t="str">
        <f>HYPERLINK("https://parts-sales.ru/parts/MAN/06569360676","Круглое уплотнение 12,5X2,5N-FKM1-70-GN")</f>
        <v>Круглое уплотнение 12,5X2,5N-FKM1-70-GN</v>
      </c>
      <c r="C875" s="5" t="s">
        <v>6</v>
      </c>
      <c r="D875" s="6">
        <v>724.8</v>
      </c>
      <c r="E875" s="6">
        <v>206</v>
      </c>
      <c r="F875" s="9">
        <v>0.72</v>
      </c>
      <c r="H875" s="11"/>
      <c r="I875" s="11"/>
      <c r="J875" s="11"/>
    </row>
    <row r="876" spans="1:10" ht="15.75" x14ac:dyDescent="0.3">
      <c r="A876" s="12" t="str">
        <f>HYPERLINK("https://parts-sales.ru/parts/MAN/06569360692","06.56936-0692")</f>
        <v>06.56936-0692</v>
      </c>
      <c r="B876" s="12" t="str">
        <f>HYPERLINK("https://parts-sales.ru/parts/MAN/06569360692","Круглое уплотнение 13X2N-FKM1-70-GN")</f>
        <v>Круглое уплотнение 13X2N-FKM1-70-GN</v>
      </c>
      <c r="C876" s="3" t="s">
        <v>6</v>
      </c>
      <c r="D876" s="4">
        <v>810</v>
      </c>
      <c r="E876" s="4">
        <v>59</v>
      </c>
      <c r="F876" s="8">
        <v>0.93</v>
      </c>
      <c r="H876" s="11"/>
      <c r="I876" s="11"/>
      <c r="J876" s="11"/>
    </row>
    <row r="877" spans="1:10" ht="15.75" x14ac:dyDescent="0.3">
      <c r="A877" s="13" t="str">
        <f>HYPERLINK("https://parts-sales.ru/parts/MAN/06569360747","06.56936-0747")</f>
        <v>06.56936-0747</v>
      </c>
      <c r="B877" s="13" t="str">
        <f>HYPERLINK("https://parts-sales.ru/parts/MAN/06569360747","Круглое уплотнение 14X2,5N-FPM1-70-GN")</f>
        <v>Круглое уплотнение 14X2,5N-FPM1-70-GN</v>
      </c>
      <c r="C877" s="5" t="s">
        <v>6</v>
      </c>
      <c r="D877" s="6">
        <v>748.8</v>
      </c>
      <c r="E877" s="6">
        <v>274</v>
      </c>
      <c r="F877" s="9">
        <v>0.63</v>
      </c>
      <c r="H877" s="11"/>
      <c r="I877" s="11"/>
      <c r="J877" s="11"/>
    </row>
    <row r="878" spans="1:10" ht="15.75" x14ac:dyDescent="0.3">
      <c r="A878" s="12" t="str">
        <f>HYPERLINK("https://parts-sales.ru/parts/MAN/06569360893","06.56936-0893")</f>
        <v>06.56936-0893</v>
      </c>
      <c r="B878" s="12" t="str">
        <f>HYPERLINK("https://parts-sales.ru/parts/MAN/06569360893","Круглое уплотнение 17X2N-FPM1-70-GN")</f>
        <v>Круглое уплотнение 17X2N-FPM1-70-GN</v>
      </c>
      <c r="C878" s="3" t="s">
        <v>6</v>
      </c>
      <c r="D878" s="4">
        <v>746.4</v>
      </c>
      <c r="E878" s="4">
        <v>278</v>
      </c>
      <c r="F878" s="8">
        <v>0.63</v>
      </c>
      <c r="H878" s="11"/>
      <c r="I878" s="11"/>
      <c r="J878" s="11"/>
    </row>
    <row r="879" spans="1:10" ht="15.75" x14ac:dyDescent="0.3">
      <c r="A879" s="13" t="str">
        <f>HYPERLINK("https://parts-sales.ru/parts/MAN/06569361156","06.56936-1156")</f>
        <v>06.56936-1156</v>
      </c>
      <c r="B879" s="13" t="str">
        <f>HYPERLINK("https://parts-sales.ru/parts/MAN/06569361156","Круглое уплотнение 22X4-FPM1-70-GN")</f>
        <v>Круглое уплотнение 22X4-FPM1-70-GN</v>
      </c>
      <c r="C879" s="5" t="s">
        <v>6</v>
      </c>
      <c r="D879" s="6">
        <v>1527.6</v>
      </c>
      <c r="E879" s="6">
        <v>354</v>
      </c>
      <c r="F879" s="9">
        <v>0.77</v>
      </c>
      <c r="H879" s="11"/>
      <c r="I879" s="11"/>
      <c r="J879" s="11"/>
    </row>
    <row r="880" spans="1:10" ht="15.75" x14ac:dyDescent="0.3">
      <c r="A880" s="12" t="str">
        <f>HYPERLINK("https://parts-sales.ru/parts/MAN/06569361199","06.56936-1199")</f>
        <v>06.56936-1199</v>
      </c>
      <c r="B880" s="12" t="str">
        <f>HYPERLINK("https://parts-sales.ru/parts/MAN/06569361199","Круглое уплотнение 23X2-FPM1-70-GN")</f>
        <v>Круглое уплотнение 23X2-FPM1-70-GN</v>
      </c>
      <c r="C880" s="3" t="s">
        <v>6</v>
      </c>
      <c r="D880" s="4">
        <v>645.6</v>
      </c>
      <c r="E880" s="4">
        <v>148</v>
      </c>
      <c r="F880" s="8">
        <v>0.77</v>
      </c>
      <c r="H880" s="11"/>
      <c r="I880" s="11"/>
      <c r="J880" s="11"/>
    </row>
    <row r="881" spans="1:10" ht="15.75" x14ac:dyDescent="0.3">
      <c r="A881" s="13" t="str">
        <f>HYPERLINK("https://parts-sales.ru/parts/MAN/06569361298","06.56936-1298")</f>
        <v>06.56936-1298</v>
      </c>
      <c r="B881" s="13" t="str">
        <f>HYPERLINK("https://parts-sales.ru/parts/MAN/06569361298","Круглое уплотнение 25X2N-FPM1-70-GN")</f>
        <v>Круглое уплотнение 25X2N-FPM1-70-GN</v>
      </c>
      <c r="C881" s="5" t="s">
        <v>6</v>
      </c>
      <c r="D881" s="6">
        <v>1767.6</v>
      </c>
      <c r="E881" s="6">
        <v>152</v>
      </c>
      <c r="F881" s="9">
        <v>0.91</v>
      </c>
      <c r="H881" s="11"/>
      <c r="I881" s="11"/>
      <c r="J881" s="11"/>
    </row>
    <row r="882" spans="1:10" ht="15.75" x14ac:dyDescent="0.3">
      <c r="A882" s="12" t="str">
        <f>HYPERLINK("https://parts-sales.ru/parts/MAN/06569361300","06.56936-1300")</f>
        <v>06.56936-1300</v>
      </c>
      <c r="B882" s="12" t="str">
        <f>HYPERLINK("https://parts-sales.ru/parts/MAN/06569361300","Круглое уплотнение 25X2,5-FKM1-70-GN")</f>
        <v>Круглое уплотнение 25X2,5-FKM1-70-GN</v>
      </c>
      <c r="C882" s="3" t="s">
        <v>6</v>
      </c>
      <c r="D882" s="4">
        <v>1767.6</v>
      </c>
      <c r="E882" s="4">
        <v>713</v>
      </c>
      <c r="F882" s="8">
        <v>0.6</v>
      </c>
      <c r="H882" s="11"/>
      <c r="I882" s="11"/>
      <c r="J882" s="11"/>
    </row>
    <row r="883" spans="1:10" ht="15.75" x14ac:dyDescent="0.3">
      <c r="A883" s="13" t="str">
        <f>HYPERLINK("https://parts-sales.ru/parts/MAN/06569362480","06.56936-2480")</f>
        <v>06.56936-2480</v>
      </c>
      <c r="B883" s="13" t="str">
        <f>HYPERLINK("https://parts-sales.ru/parts/MAN/06569362480","Круглое уплотнение 63X3N-FKM1-70-GN")</f>
        <v>Круглое уплотнение 63X3N-FKM1-70-GN</v>
      </c>
      <c r="C883" s="5" t="s">
        <v>6</v>
      </c>
      <c r="D883" s="6">
        <v>1221.5999999999999</v>
      </c>
      <c r="E883" s="6">
        <v>383</v>
      </c>
      <c r="F883" s="9">
        <v>0.69</v>
      </c>
      <c r="H883" s="11"/>
      <c r="I883" s="11"/>
      <c r="J883" s="11"/>
    </row>
    <row r="884" spans="1:10" ht="15.75" x14ac:dyDescent="0.3">
      <c r="A884" s="12" t="str">
        <f>HYPERLINK("https://parts-sales.ru/parts/MAN/06569362632","06.56936-2632")</f>
        <v>06.56936-2632</v>
      </c>
      <c r="B884" s="12" t="str">
        <f>HYPERLINK("https://parts-sales.ru/parts/MAN/06569362632","Круглое уплотнение 70X3N-FPM1-70-GN")</f>
        <v>Круглое уплотнение 70X3N-FPM1-70-GN</v>
      </c>
      <c r="C884" s="3" t="s">
        <v>6</v>
      </c>
      <c r="D884" s="4">
        <v>2823.6</v>
      </c>
      <c r="E884" s="4">
        <v>1098</v>
      </c>
      <c r="F884" s="8">
        <v>0.61</v>
      </c>
      <c r="H884" s="11"/>
      <c r="I884" s="11"/>
      <c r="J884" s="11"/>
    </row>
    <row r="885" spans="1:10" ht="15.75" x14ac:dyDescent="0.3">
      <c r="A885" s="13" t="str">
        <f>HYPERLINK("https://parts-sales.ru/parts/MAN/06569362783","06.56936-2783")</f>
        <v>06.56936-2783</v>
      </c>
      <c r="B885" s="13" t="str">
        <f>HYPERLINK("https://parts-sales.ru/parts/MAN/06569362783","Круглое уплотнение 76X2N-FPM1-70-GN")</f>
        <v>Круглое уплотнение 76X2N-FPM1-70-GN</v>
      </c>
      <c r="C885" s="5" t="s">
        <v>6</v>
      </c>
      <c r="D885" s="6">
        <v>3943.2</v>
      </c>
      <c r="E885" s="6">
        <v>699</v>
      </c>
      <c r="F885" s="9">
        <v>0.82</v>
      </c>
      <c r="H885" s="11"/>
      <c r="I885" s="11"/>
      <c r="J885" s="11"/>
    </row>
    <row r="886" spans="1:10" ht="15.75" x14ac:dyDescent="0.3">
      <c r="A886" s="12" t="str">
        <f>HYPERLINK("https://parts-sales.ru/parts/MAN/06569362944","06.56936-2944")</f>
        <v>06.56936-2944</v>
      </c>
      <c r="B886" s="12" t="str">
        <f>HYPERLINK("https://parts-sales.ru/parts/MAN/06569362944","Круглое уплотнение 84X2-FKM1-70-N")</f>
        <v>Круглое уплотнение 84X2-FKM1-70-N</v>
      </c>
      <c r="C886" s="3" t="s">
        <v>6</v>
      </c>
      <c r="D886" s="4">
        <v>3214.8</v>
      </c>
      <c r="E886" s="4">
        <v>993</v>
      </c>
      <c r="F886" s="8">
        <v>0.69</v>
      </c>
      <c r="H886" s="11"/>
      <c r="I886" s="11"/>
      <c r="J886" s="11"/>
    </row>
    <row r="887" spans="1:10" ht="15.75" x14ac:dyDescent="0.3">
      <c r="A887" s="13" t="str">
        <f>HYPERLINK("https://parts-sales.ru/parts/MAN/06569362947","06.56936-2947")</f>
        <v>06.56936-2947</v>
      </c>
      <c r="B887" s="13" t="str">
        <f>HYPERLINK("https://parts-sales.ru/parts/MAN/06569362947","Круглое уплотнение 84X4N-FPM1-70-GN")</f>
        <v>Круглое уплотнение 84X4N-FPM1-70-GN</v>
      </c>
      <c r="C887" s="5" t="s">
        <v>6</v>
      </c>
      <c r="D887" s="6">
        <v>2233.1999999999998</v>
      </c>
      <c r="E887" s="6">
        <v>788</v>
      </c>
      <c r="F887" s="9">
        <v>0.65</v>
      </c>
      <c r="H887" s="11"/>
      <c r="I887" s="11"/>
      <c r="J887" s="11"/>
    </row>
    <row r="888" spans="1:10" ht="15.75" x14ac:dyDescent="0.3">
      <c r="A888" s="12" t="str">
        <f>HYPERLINK("https://parts-sales.ru/parts/MAN/06569363553","06.56936-3553")</f>
        <v>06.56936-3553</v>
      </c>
      <c r="B888" s="12" t="str">
        <f>HYPERLINK("https://parts-sales.ru/parts/MAN/06569363553","Круглое уплотнение 116X3N-FPM1-70-GN")</f>
        <v>Круглое уплотнение 116X3N-FPM1-70-GN</v>
      </c>
      <c r="C888" s="3" t="s">
        <v>6</v>
      </c>
      <c r="D888" s="4">
        <v>3495.6</v>
      </c>
      <c r="E888" s="4">
        <v>1540</v>
      </c>
      <c r="F888" s="8">
        <v>0.56000000000000005</v>
      </c>
      <c r="H888" s="11"/>
      <c r="I888" s="11"/>
      <c r="J888" s="11"/>
    </row>
    <row r="889" spans="1:10" ht="15.75" x14ac:dyDescent="0.3">
      <c r="A889" s="13" t="str">
        <f>HYPERLINK("https://parts-sales.ru/parts/MAN/06569363841","06.56936-3841")</f>
        <v>06.56936-3841</v>
      </c>
      <c r="B889" s="13" t="str">
        <f>HYPERLINK("https://parts-sales.ru/parts/MAN/06569363841","Круглое уплотнение 135X3N-FPM1-70-GN")</f>
        <v>Круглое уплотнение 135X3N-FPM1-70-GN</v>
      </c>
      <c r="C889" s="5" t="s">
        <v>6</v>
      </c>
      <c r="D889" s="6">
        <v>3733.2</v>
      </c>
      <c r="E889" s="6">
        <v>867</v>
      </c>
      <c r="F889" s="9">
        <v>0.77</v>
      </c>
      <c r="H889" s="11"/>
      <c r="I889" s="11"/>
      <c r="J889" s="11"/>
    </row>
    <row r="890" spans="1:10" ht="15.75" x14ac:dyDescent="0.3">
      <c r="A890" s="12" t="str">
        <f>HYPERLINK("https://parts-sales.ru/parts/MAN/06569366409","06.56936-6409")</f>
        <v>06.56936-6409</v>
      </c>
      <c r="B890" s="12" t="str">
        <f>HYPERLINK("https://parts-sales.ru/parts/MAN/06569366409","Круглое уплотнение 24,6X2,5N-FKM1-70-GN")</f>
        <v>Круглое уплотнение 24,6X2,5N-FKM1-70-GN</v>
      </c>
      <c r="C890" s="3" t="s">
        <v>6</v>
      </c>
      <c r="D890" s="4">
        <v>810</v>
      </c>
      <c r="E890" s="4">
        <v>218</v>
      </c>
      <c r="F890" s="8">
        <v>0.73</v>
      </c>
      <c r="H890" s="11"/>
      <c r="I890" s="11"/>
      <c r="J890" s="11"/>
    </row>
    <row r="891" spans="1:10" ht="15.75" x14ac:dyDescent="0.3">
      <c r="A891" s="13" t="str">
        <f>HYPERLINK("https://parts-sales.ru/parts/MAN/06569366417","06.56936-6417")</f>
        <v>06.56936-6417</v>
      </c>
      <c r="B891" s="13" t="str">
        <f>HYPERLINK("https://parts-sales.ru/parts/MAN/06569366417","Круглое уплотнение 219X3N-FPM1-70-GN")</f>
        <v>Круглое уплотнение 219X3N-FPM1-70-GN</v>
      </c>
      <c r="C891" s="5" t="s">
        <v>6</v>
      </c>
      <c r="D891" s="6">
        <v>8259.6</v>
      </c>
      <c r="E891" s="6">
        <v>1630</v>
      </c>
      <c r="F891" s="9">
        <v>0.8</v>
      </c>
      <c r="H891" s="11"/>
      <c r="I891" s="11"/>
      <c r="J891" s="11"/>
    </row>
    <row r="892" spans="1:10" ht="15.75" x14ac:dyDescent="0.3">
      <c r="A892" s="12" t="str">
        <f>HYPERLINK("https://parts-sales.ru/parts/MAN/06569371683","06.56937-1683")</f>
        <v>06.56937-1683</v>
      </c>
      <c r="B892" s="12" t="str">
        <f>HYPERLINK("https://parts-sales.ru/parts/MAN/06569371683","Круглое уплотнение 34X3N-FPM2-70")</f>
        <v>Круглое уплотнение 34X3N-FPM2-70</v>
      </c>
      <c r="C892" s="3" t="s">
        <v>6</v>
      </c>
      <c r="D892" s="4">
        <v>1762.8</v>
      </c>
      <c r="E892" s="4">
        <v>382</v>
      </c>
      <c r="F892" s="8">
        <v>0.78</v>
      </c>
      <c r="H892" s="11"/>
      <c r="I892" s="11"/>
      <c r="J892" s="11"/>
    </row>
    <row r="893" spans="1:10" ht="15.75" x14ac:dyDescent="0.3">
      <c r="A893" s="13" t="str">
        <f>HYPERLINK("https://parts-sales.ru/parts/MAN/06569371686","06.56937-1686")</f>
        <v>06.56937-1686</v>
      </c>
      <c r="B893" s="13" t="str">
        <f>HYPERLINK("https://parts-sales.ru/parts/MAN/06569371686","Круглое уплотнение 34X4N-FPM2-70")</f>
        <v>Круглое уплотнение 34X4N-FPM2-70</v>
      </c>
      <c r="C893" s="5" t="s">
        <v>6</v>
      </c>
      <c r="D893" s="6">
        <v>1767.6</v>
      </c>
      <c r="E893" s="6">
        <v>425</v>
      </c>
      <c r="F893" s="9">
        <v>0.76</v>
      </c>
      <c r="H893" s="11"/>
      <c r="I893" s="11"/>
      <c r="J893" s="11"/>
    </row>
    <row r="894" spans="1:10" ht="15.75" x14ac:dyDescent="0.3">
      <c r="A894" s="12" t="str">
        <f>HYPERLINK("https://parts-sales.ru/parts/MAN/06569380294","06.56938-0294")</f>
        <v>06.56938-0294</v>
      </c>
      <c r="B894" s="12" t="str">
        <f>HYPERLINK("https://parts-sales.ru/parts/MAN/06569380294","Круглое уплотнение 6X3N-FPM1-80-GN")</f>
        <v>Круглое уплотнение 6X3N-FPM1-80-GN</v>
      </c>
      <c r="C894" s="3" t="s">
        <v>6</v>
      </c>
      <c r="D894" s="4">
        <v>1046.4000000000001</v>
      </c>
      <c r="E894" s="4">
        <v>244</v>
      </c>
      <c r="F894" s="8">
        <v>0.77</v>
      </c>
      <c r="H894" s="11"/>
      <c r="I894" s="11"/>
      <c r="J894" s="11"/>
    </row>
    <row r="895" spans="1:10" ht="15.75" x14ac:dyDescent="0.3">
      <c r="A895" s="13" t="str">
        <f>HYPERLINK("https://parts-sales.ru/parts/MAN/06569380410","06.56938-0410")</f>
        <v>06.56938-0410</v>
      </c>
      <c r="B895" s="13" t="str">
        <f>HYPERLINK("https://parts-sales.ru/parts/MAN/06569380410","Круглое уплотнение 8X2N-FPM1-80-GN")</f>
        <v>Круглое уплотнение 8X2N-FPM1-80-GN</v>
      </c>
      <c r="C895" s="5" t="s">
        <v>6</v>
      </c>
      <c r="D895" s="6">
        <v>1212</v>
      </c>
      <c r="E895" s="6">
        <v>286</v>
      </c>
      <c r="F895" s="9">
        <v>0.76</v>
      </c>
      <c r="H895" s="11"/>
      <c r="I895" s="11"/>
      <c r="J895" s="11"/>
    </row>
    <row r="896" spans="1:10" ht="15.75" x14ac:dyDescent="0.3">
      <c r="A896" s="12" t="str">
        <f>HYPERLINK("https://parts-sales.ru/parts/MAN/06569380522","06.56938-0522")</f>
        <v>06.56938-0522</v>
      </c>
      <c r="B896" s="12" t="str">
        <f>HYPERLINK("https://parts-sales.ru/parts/MAN/06569380522","Круглое уплотнение 10X3-FKM1-80-GN")</f>
        <v>Круглое уплотнение 10X3-FKM1-80-GN</v>
      </c>
      <c r="C896" s="3" t="s">
        <v>6</v>
      </c>
      <c r="D896" s="4">
        <v>1093.2</v>
      </c>
      <c r="E896" s="4">
        <v>438</v>
      </c>
      <c r="F896" s="8">
        <v>0.6</v>
      </c>
      <c r="H896" s="11"/>
      <c r="I896" s="11"/>
      <c r="J896" s="11"/>
    </row>
    <row r="897" spans="1:10" ht="15.75" x14ac:dyDescent="0.3">
      <c r="A897" s="13" t="str">
        <f>HYPERLINK("https://parts-sales.ru/parts/MAN/06569380572","06.56938-0572")</f>
        <v>06.56938-0572</v>
      </c>
      <c r="B897" s="13" t="str">
        <f>HYPERLINK("https://parts-sales.ru/parts/MAN/06569380572","Круглое уплотнение 11X2N-FKM1-80-GN")</f>
        <v>Круглое уплотнение 11X2N-FKM1-80-GN</v>
      </c>
      <c r="C897" s="5" t="s">
        <v>6</v>
      </c>
      <c r="D897" s="6">
        <v>361.2</v>
      </c>
      <c r="E897" s="6">
        <v>127</v>
      </c>
      <c r="F897" s="9">
        <v>0.65</v>
      </c>
      <c r="H897" s="11"/>
      <c r="I897" s="11"/>
      <c r="J897" s="11"/>
    </row>
    <row r="898" spans="1:10" ht="15.75" x14ac:dyDescent="0.3">
      <c r="A898" s="12" t="str">
        <f>HYPERLINK("https://parts-sales.ru/parts/MAN/06569383163","06.56938-3163")</f>
        <v>06.56938-3163</v>
      </c>
      <c r="B898" s="12" t="str">
        <f>HYPERLINK("https://parts-sales.ru/parts/MAN/06569383163","Круглое уплотнение 94,5X3N-FPM1-80-GN")</f>
        <v>Круглое уплотнение 94,5X3N-FPM1-80-GN</v>
      </c>
      <c r="C898" s="3" t="s">
        <v>6</v>
      </c>
      <c r="D898" s="4">
        <v>2952</v>
      </c>
      <c r="E898" s="4">
        <v>693</v>
      </c>
      <c r="F898" s="8">
        <v>0.77</v>
      </c>
      <c r="H898" s="11"/>
      <c r="I898" s="11"/>
      <c r="J898" s="11"/>
    </row>
    <row r="899" spans="1:10" ht="15.75" x14ac:dyDescent="0.3">
      <c r="A899" s="13" t="str">
        <f>HYPERLINK("https://parts-sales.ru/parts/MAN/06569383730","06.56938-3730")</f>
        <v>06.56938-3730</v>
      </c>
      <c r="B899" s="13" t="str">
        <f>HYPERLINK("https://parts-sales.ru/parts/MAN/06569383730","Круглое уплотнение 128X3N-FKM1-80-GN")</f>
        <v>Круглое уплотнение 128X3N-FKM1-80-GN</v>
      </c>
      <c r="C899" s="5" t="s">
        <v>6</v>
      </c>
      <c r="D899" s="6">
        <v>1417.2</v>
      </c>
      <c r="E899" s="6">
        <v>482</v>
      </c>
      <c r="F899" s="9">
        <v>0.66</v>
      </c>
      <c r="H899" s="11"/>
      <c r="I899" s="11"/>
      <c r="J899" s="11"/>
    </row>
    <row r="900" spans="1:10" ht="15.75" x14ac:dyDescent="0.3">
      <c r="A900" s="12" t="str">
        <f>HYPERLINK("https://parts-sales.ru/parts/MAN/06569390015","06.56939-0015")</f>
        <v>06.56939-0015</v>
      </c>
      <c r="B900" s="12" t="str">
        <f>HYPERLINK("https://parts-sales.ru/parts/MAN/06569390015","Круглое уплотнение 49X3N-EPDM9-60")</f>
        <v>Круглое уплотнение 49X3N-EPDM9-60</v>
      </c>
      <c r="C900" s="3" t="s">
        <v>6</v>
      </c>
      <c r="D900" s="4">
        <v>1046.4000000000001</v>
      </c>
      <c r="E900" s="4">
        <v>213</v>
      </c>
      <c r="F900" s="8">
        <v>0.8</v>
      </c>
      <c r="H900" s="11"/>
      <c r="I900" s="11"/>
      <c r="J900" s="11"/>
    </row>
    <row r="901" spans="1:10" ht="15.75" x14ac:dyDescent="0.3">
      <c r="A901" s="13" t="str">
        <f>HYPERLINK("https://parts-sales.ru/parts/MAN/06569390031","06.56939-0031")</f>
        <v>06.56939-0031</v>
      </c>
      <c r="B901" s="13" t="str">
        <f>HYPERLINK("https://parts-sales.ru/parts/MAN/06569390031","Круглое уплотнение 12X1,5-NBR--70-KAELTE")</f>
        <v>Круглое уплотнение 12X1,5-NBR--70-KAELTE</v>
      </c>
      <c r="C901" s="5" t="s">
        <v>6</v>
      </c>
      <c r="D901" s="6">
        <v>1046.4000000000001</v>
      </c>
      <c r="E901" s="6">
        <v>144</v>
      </c>
      <c r="F901" s="9">
        <v>0.86</v>
      </c>
      <c r="H901" s="11"/>
      <c r="I901" s="11"/>
      <c r="J901" s="11"/>
    </row>
    <row r="902" spans="1:10" ht="15.75" x14ac:dyDescent="0.3">
      <c r="A902" s="12" t="str">
        <f>HYPERLINK("https://parts-sales.ru/parts/MAN/06569390033","06.56939-0033")</f>
        <v>06.56939-0033</v>
      </c>
      <c r="B902" s="12" t="str">
        <f>HYPERLINK("https://parts-sales.ru/parts/MAN/06569390033","Круглое уплотнение 6,07X1,78-EPDM4-80-SW")</f>
        <v>Круглое уплотнение 6,07X1,78-EPDM4-80-SW</v>
      </c>
      <c r="C902" s="3" t="s">
        <v>6</v>
      </c>
      <c r="D902" s="4">
        <v>510</v>
      </c>
      <c r="E902" s="4">
        <v>128</v>
      </c>
      <c r="F902" s="8">
        <v>0.75</v>
      </c>
      <c r="H902" s="11"/>
      <c r="I902" s="11"/>
      <c r="J902" s="11"/>
    </row>
    <row r="903" spans="1:10" ht="15.75" x14ac:dyDescent="0.3">
      <c r="A903" s="13" t="str">
        <f>HYPERLINK("https://parts-sales.ru/parts/MAN/06569390040","06.56939-0040")</f>
        <v>06.56939-0040</v>
      </c>
      <c r="B903" s="13" t="str">
        <f>HYPERLINK("https://parts-sales.ru/parts/MAN/06569390040","Круглое уплотнение 58,8X4,2N-FPM1-60-GN")</f>
        <v>Круглое уплотнение 58,8X4,2N-FPM1-60-GN</v>
      </c>
      <c r="C903" s="5" t="s">
        <v>6</v>
      </c>
      <c r="D903" s="6">
        <v>2379.6</v>
      </c>
      <c r="E903" s="6">
        <v>418</v>
      </c>
      <c r="F903" s="9">
        <v>0.82</v>
      </c>
      <c r="H903" s="11"/>
      <c r="I903" s="11"/>
      <c r="J903" s="11"/>
    </row>
    <row r="904" spans="1:10" ht="15.75" x14ac:dyDescent="0.3">
      <c r="A904" s="12" t="str">
        <f>HYPERLINK("https://parts-sales.ru/parts/MAN/06569390059","06.56939-0059")</f>
        <v>06.56939-0059</v>
      </c>
      <c r="B904" s="12" t="str">
        <f>HYPERLINK("https://parts-sales.ru/parts/MAN/06569390059","Круглое уплотнение 14X2,6N-EPDM9-70")</f>
        <v>Круглое уплотнение 14X2,6N-EPDM9-70</v>
      </c>
      <c r="C904" s="3" t="s">
        <v>6</v>
      </c>
      <c r="D904" s="4">
        <v>453.6</v>
      </c>
      <c r="E904" s="4">
        <v>187</v>
      </c>
      <c r="F904" s="8">
        <v>0.59</v>
      </c>
      <c r="H904" s="11"/>
      <c r="I904" s="11"/>
      <c r="J904" s="11"/>
    </row>
    <row r="905" spans="1:10" ht="15.75" x14ac:dyDescent="0.3">
      <c r="A905" s="13" t="str">
        <f>HYPERLINK("https://parts-sales.ru/parts/MAN/06569390060","06.56939-0060")</f>
        <v>06.56939-0060</v>
      </c>
      <c r="B905" s="13" t="str">
        <f>HYPERLINK("https://parts-sales.ru/parts/MAN/06569390060","Круглое уплотнение 74X3N-EPDM9-70")</f>
        <v>Круглое уплотнение 74X3N-EPDM9-70</v>
      </c>
      <c r="C905" s="5" t="s">
        <v>6</v>
      </c>
      <c r="D905" s="6">
        <v>1628.4</v>
      </c>
      <c r="E905" s="6">
        <v>368</v>
      </c>
      <c r="F905" s="9">
        <v>0.77</v>
      </c>
      <c r="H905" s="11"/>
      <c r="I905" s="11"/>
      <c r="J905" s="11"/>
    </row>
    <row r="906" spans="1:10" ht="15.75" x14ac:dyDescent="0.3">
      <c r="A906" s="12" t="str">
        <f>HYPERLINK("https://parts-sales.ru/parts/MAN/06569390061","06.56939-0061")</f>
        <v>06.56939-0061</v>
      </c>
      <c r="B906" s="12" t="str">
        <f>HYPERLINK("https://parts-sales.ru/parts/MAN/06569390061","Круглое уплотнение 49X3N-NBR3-40")</f>
        <v>Круглое уплотнение 49X3N-NBR3-40</v>
      </c>
      <c r="C906" s="3" t="s">
        <v>6</v>
      </c>
      <c r="D906" s="4">
        <v>1527.6</v>
      </c>
      <c r="E906" s="4">
        <v>357</v>
      </c>
      <c r="F906" s="8">
        <v>0.77</v>
      </c>
      <c r="H906" s="11"/>
      <c r="I906" s="11"/>
      <c r="J906" s="11"/>
    </row>
    <row r="907" spans="1:10" ht="15.75" x14ac:dyDescent="0.3">
      <c r="A907" s="13" t="str">
        <f>HYPERLINK("https://parts-sales.ru/parts/MAN/06569390084","06.56939-0084")</f>
        <v>06.56939-0084</v>
      </c>
      <c r="B907" s="13" t="str">
        <f>HYPERLINK("https://parts-sales.ru/parts/MAN/06569390084","Круглое уплотнение 70X7N-NBR3-60")</f>
        <v>Круглое уплотнение 70X7N-NBR3-60</v>
      </c>
      <c r="C907" s="5" t="s">
        <v>6</v>
      </c>
      <c r="D907" s="6">
        <v>2952</v>
      </c>
      <c r="E907" s="6">
        <v>758</v>
      </c>
      <c r="F907" s="9">
        <v>0.74</v>
      </c>
      <c r="H907" s="11"/>
      <c r="I907" s="11"/>
      <c r="J907" s="11"/>
    </row>
    <row r="908" spans="1:10" ht="15.75" x14ac:dyDescent="0.3">
      <c r="A908" s="12" t="str">
        <f>HYPERLINK("https://parts-sales.ru/parts/MAN/06569390096","06.56939-0096")</f>
        <v>06.56939-0096</v>
      </c>
      <c r="B908" s="12" t="str">
        <f>HYPERLINK("https://parts-sales.ru/parts/MAN/06569390096","Круглое уплотнение 17X3,75N-EPDM13-60")</f>
        <v>Круглое уплотнение 17X3,75N-EPDM13-60</v>
      </c>
      <c r="C908" s="3" t="s">
        <v>6</v>
      </c>
      <c r="D908" s="4">
        <v>1212</v>
      </c>
      <c r="E908" s="4">
        <v>160</v>
      </c>
      <c r="F908" s="8">
        <v>0.87</v>
      </c>
      <c r="H908" s="11"/>
      <c r="I908" s="11"/>
      <c r="J908" s="11"/>
    </row>
    <row r="909" spans="1:10" ht="15.75" x14ac:dyDescent="0.3">
      <c r="A909" s="13" t="str">
        <f>HYPERLINK("https://parts-sales.ru/parts/MAN/06569390111","06.56939-0111")</f>
        <v>06.56939-0111</v>
      </c>
      <c r="B909" s="13" t="str">
        <f>HYPERLINK("https://parts-sales.ru/parts/MAN/06569390111","Круглое уплотнение 67X3N-EPDM9-70")</f>
        <v>Круглое уплотнение 67X3N-EPDM9-70</v>
      </c>
      <c r="C909" s="5" t="s">
        <v>6</v>
      </c>
      <c r="D909" s="6">
        <v>7426.8</v>
      </c>
      <c r="E909" s="6">
        <v>1669</v>
      </c>
      <c r="F909" s="9">
        <v>0.78</v>
      </c>
      <c r="H909" s="11"/>
      <c r="I909" s="11"/>
      <c r="J909" s="11"/>
    </row>
    <row r="910" spans="1:10" ht="15.75" x14ac:dyDescent="0.3">
      <c r="A910" s="12" t="str">
        <f>HYPERLINK("https://parts-sales.ru/parts/MAN/06569390131","06.56939-0131")</f>
        <v>06.56939-0131</v>
      </c>
      <c r="B910" s="12" t="str">
        <f>HYPERLINK("https://parts-sales.ru/parts/MAN/06569390131","Круглое уплотнение 8X3N-EPDM13-70")</f>
        <v>Круглое уплотнение 8X3N-EPDM13-70</v>
      </c>
      <c r="C910" s="3" t="s">
        <v>6</v>
      </c>
      <c r="D910" s="4">
        <v>2511.6</v>
      </c>
      <c r="E910" s="4">
        <v>460</v>
      </c>
      <c r="F910" s="8">
        <v>0.82</v>
      </c>
      <c r="H910" s="11"/>
      <c r="I910" s="11"/>
      <c r="J910" s="11"/>
    </row>
    <row r="911" spans="1:10" ht="15.75" x14ac:dyDescent="0.3">
      <c r="A911" s="13" t="str">
        <f>HYPERLINK("https://parts-sales.ru/parts/MAN/06569390163","06.56939-0163")</f>
        <v>06.56939-0163</v>
      </c>
      <c r="B911" s="13" t="str">
        <f>HYPERLINK("https://parts-sales.ru/parts/MAN/06569390163","Круглое уплотнение 84,5X3-1-70IRHD")</f>
        <v>Круглое уплотнение 84,5X3-1-70IRHD</v>
      </c>
      <c r="C911" s="5" t="s">
        <v>6</v>
      </c>
      <c r="D911" s="6">
        <v>1143.5999999999999</v>
      </c>
      <c r="E911" s="6">
        <v>315</v>
      </c>
      <c r="F911" s="9">
        <v>0.72</v>
      </c>
      <c r="H911" s="11"/>
      <c r="I911" s="11"/>
      <c r="J911" s="11"/>
    </row>
    <row r="912" spans="1:10" ht="15.75" x14ac:dyDescent="0.3">
      <c r="A912" s="12" t="str">
        <f>HYPERLINK("https://parts-sales.ru/parts/MAN/06569390167","06.56939-0167")</f>
        <v>06.56939-0167</v>
      </c>
      <c r="B912" s="12" t="str">
        <f>HYPERLINK("https://parts-sales.ru/parts/MAN/06569390167","Круглое уплотнение 64,5X3-1-70IRHD")</f>
        <v>Круглое уплотнение 64,5X3-1-70IRHD</v>
      </c>
      <c r="C912" s="3" t="s">
        <v>6</v>
      </c>
      <c r="D912" s="4">
        <v>909.6</v>
      </c>
      <c r="E912" s="4">
        <v>225</v>
      </c>
      <c r="F912" s="8">
        <v>0.75</v>
      </c>
      <c r="H912" s="11"/>
      <c r="I912" s="11"/>
      <c r="J912" s="11"/>
    </row>
    <row r="913" spans="1:10" ht="15.75" x14ac:dyDescent="0.3">
      <c r="A913" s="13" t="str">
        <f>HYPERLINK("https://parts-sales.ru/parts/MAN/06569390170","06.56939-0170")</f>
        <v>06.56939-0170</v>
      </c>
      <c r="B913" s="13" t="str">
        <f>HYPERLINK("https://parts-sales.ru/parts/MAN/06569390170","Круглое уплотнение 79,2X5,7-1-70IRHD")</f>
        <v>Круглое уплотнение 79,2X5,7-1-70IRHD</v>
      </c>
      <c r="C913" s="5" t="s">
        <v>6</v>
      </c>
      <c r="D913" s="6">
        <v>4837.2</v>
      </c>
      <c r="E913" s="6">
        <v>1171</v>
      </c>
      <c r="F913" s="9">
        <v>0.76</v>
      </c>
      <c r="H913" s="11"/>
      <c r="I913" s="11"/>
      <c r="J913" s="11"/>
    </row>
    <row r="914" spans="1:10" ht="15.75" x14ac:dyDescent="0.3">
      <c r="A914" s="12" t="str">
        <f>HYPERLINK("https://parts-sales.ru/parts/MAN/06569390172","06.56939-0172")</f>
        <v>06.56939-0172</v>
      </c>
      <c r="B914" s="12" t="str">
        <f>HYPERLINK("https://parts-sales.ru/parts/MAN/06569390172","Круглое уплотнение 29,2X3-FKM1-70IRHD")</f>
        <v>Круглое уплотнение 29,2X3-FKM1-70IRHD</v>
      </c>
      <c r="C914" s="3" t="s">
        <v>6</v>
      </c>
      <c r="D914" s="4">
        <v>447.6</v>
      </c>
      <c r="E914" s="4">
        <v>168</v>
      </c>
      <c r="F914" s="8">
        <v>0.62</v>
      </c>
      <c r="H914" s="11"/>
      <c r="I914" s="11"/>
      <c r="J914" s="11"/>
    </row>
    <row r="915" spans="1:10" ht="15.75" x14ac:dyDescent="0.3">
      <c r="A915" s="13" t="str">
        <f>HYPERLINK("https://parts-sales.ru/parts/MAN/06569390174","06.56939-0174")</f>
        <v>06.56939-0174</v>
      </c>
      <c r="B915" s="13" t="str">
        <f>HYPERLINK("https://parts-sales.ru/parts/MAN/06569390174","Круглое уплотнение 17,3X2,4-1-70IRHD")</f>
        <v>Круглое уплотнение 17,3X2,4-1-70IRHD</v>
      </c>
      <c r="C915" s="5" t="s">
        <v>6</v>
      </c>
      <c r="D915" s="6">
        <v>343.2</v>
      </c>
      <c r="E915" s="6">
        <v>123</v>
      </c>
      <c r="F915" s="9">
        <v>0.64</v>
      </c>
      <c r="H915" s="11"/>
      <c r="I915" s="11"/>
      <c r="J915" s="11"/>
    </row>
    <row r="916" spans="1:10" ht="15.75" x14ac:dyDescent="0.3">
      <c r="A916" s="12" t="str">
        <f>HYPERLINK("https://parts-sales.ru/parts/MAN/06569390176","06.56939-0176")</f>
        <v>06.56939-0176</v>
      </c>
      <c r="B916" s="12" t="str">
        <f>HYPERLINK("https://parts-sales.ru/parts/MAN/06569390176","Круглое уплотнение 11,3X2,4-FKM1-70IRHD")</f>
        <v>Круглое уплотнение 11,3X2,4-FKM1-70IRHD</v>
      </c>
      <c r="C916" s="3" t="s">
        <v>6</v>
      </c>
      <c r="D916" s="4">
        <v>250.8</v>
      </c>
      <c r="E916" s="4">
        <v>64</v>
      </c>
      <c r="F916" s="8">
        <v>0.74</v>
      </c>
      <c r="H916" s="11"/>
      <c r="I916" s="11"/>
      <c r="J916" s="11"/>
    </row>
    <row r="917" spans="1:10" ht="15.75" x14ac:dyDescent="0.3">
      <c r="A917" s="13" t="str">
        <f>HYPERLINK("https://parts-sales.ru/parts/MAN/06569390184","06.56939-0184")</f>
        <v>06.56939-0184</v>
      </c>
      <c r="B917" s="13" t="str">
        <f>HYPERLINK("https://parts-sales.ru/parts/MAN/06569390184","Круглое уплотнение 44,2X5,7")</f>
        <v>Круглое уплотнение 44,2X5,7</v>
      </c>
      <c r="C917" s="5" t="s">
        <v>6</v>
      </c>
      <c r="D917" s="6">
        <v>1398</v>
      </c>
      <c r="E917" s="6">
        <v>490</v>
      </c>
      <c r="F917" s="9">
        <v>0.65</v>
      </c>
      <c r="H917" s="11"/>
      <c r="I917" s="11"/>
      <c r="J917" s="11"/>
    </row>
    <row r="918" spans="1:10" ht="15.75" x14ac:dyDescent="0.3">
      <c r="A918" s="12" t="str">
        <f>HYPERLINK("https://parts-sales.ru/parts/MAN/06580490038","06.58049-0038")</f>
        <v>06.58049-0038</v>
      </c>
      <c r="B918" s="12" t="str">
        <f>HYPERLINK("https://parts-sales.ru/parts/MAN/06580490038","Клиновой ребристый ремень 8PK1495/28,28")</f>
        <v>Клиновой ребристый ремень 8PK1495/28,28</v>
      </c>
      <c r="C918" s="3" t="s">
        <v>6</v>
      </c>
      <c r="D918" s="4">
        <v>5066.3999999999996</v>
      </c>
      <c r="E918" s="4">
        <v>1945</v>
      </c>
      <c r="F918" s="8">
        <v>0.62</v>
      </c>
      <c r="H918" s="11"/>
      <c r="I918" s="11"/>
      <c r="J918" s="11"/>
    </row>
    <row r="919" spans="1:10" ht="15.75" x14ac:dyDescent="0.3">
      <c r="A919" s="13" t="str">
        <f>HYPERLINK("https://parts-sales.ru/parts/MAN/06580731362","06.58073-1362")</f>
        <v>06.58073-1362</v>
      </c>
      <c r="B919" s="13" t="str">
        <f>HYPERLINK("https://parts-sales.ru/parts/MAN/06580731362","Комплект узк. клин. ремней C-10X1375X2")</f>
        <v>Комплект узк. клин. ремней C-10X1375X2</v>
      </c>
      <c r="C919" s="5" t="s">
        <v>6</v>
      </c>
      <c r="D919" s="6">
        <v>1946.4</v>
      </c>
      <c r="E919" s="6">
        <v>738</v>
      </c>
      <c r="F919" s="9">
        <v>0.62</v>
      </c>
      <c r="H919" s="11"/>
      <c r="I919" s="11"/>
      <c r="J919" s="11"/>
    </row>
    <row r="920" spans="1:10" ht="15.75" x14ac:dyDescent="0.3">
      <c r="A920" s="12" t="str">
        <f>HYPERLINK("https://parts-sales.ru/parts/MAN/06580732312","06.58073-2312")</f>
        <v>06.58073-2312</v>
      </c>
      <c r="B920" s="12" t="str">
        <f>HYPERLINK("https://parts-sales.ru/parts/MAN/06580732312","Комплект узк. клин. ремней C-13X1250X2")</f>
        <v>Комплект узк. клин. ремней C-13X1250X2</v>
      </c>
      <c r="C920" s="3" t="s">
        <v>6</v>
      </c>
      <c r="D920" s="4">
        <v>5407.2</v>
      </c>
      <c r="E920" s="4">
        <v>1354</v>
      </c>
      <c r="F920" s="8">
        <v>0.75</v>
      </c>
      <c r="H920" s="11"/>
      <c r="I920" s="11"/>
      <c r="J920" s="11"/>
    </row>
    <row r="921" spans="1:10" ht="15.75" x14ac:dyDescent="0.3">
      <c r="A921" s="13" t="str">
        <f>HYPERLINK("https://parts-sales.ru/parts/MAN/06580732462","06.58073-2462")</f>
        <v>06.58073-2462</v>
      </c>
      <c r="B921" s="13" t="str">
        <f>HYPERLINK("https://parts-sales.ru/parts/MAN/06580732462","Комплект узк. клин. ремней C-13X1625X2")</f>
        <v>Комплект узк. клин. ремней C-13X1625X2</v>
      </c>
      <c r="C921" s="5" t="s">
        <v>6</v>
      </c>
      <c r="D921" s="6">
        <v>6775.2</v>
      </c>
      <c r="E921" s="6">
        <v>1576</v>
      </c>
      <c r="F921" s="9">
        <v>0.77</v>
      </c>
      <c r="H921" s="11"/>
      <c r="I921" s="11"/>
      <c r="J921" s="11"/>
    </row>
    <row r="922" spans="1:10" ht="15.75" x14ac:dyDescent="0.3">
      <c r="A922" s="12" t="str">
        <f>HYPERLINK("https://parts-sales.ru/parts/MAN/06670440122","06.67044-0122")</f>
        <v>06.67044-0122</v>
      </c>
      <c r="B922" s="12" t="str">
        <f>HYPERLINK("https://parts-sales.ru/parts/MAN/06670440122","Скоба для крепления труб 89,5-MAN183-B1")</f>
        <v>Скоба для крепления труб 89,5-MAN183-B1</v>
      </c>
      <c r="C922" s="3" t="s">
        <v>6</v>
      </c>
      <c r="D922" s="4">
        <v>2449.1999999999998</v>
      </c>
      <c r="E922" s="4">
        <v>578</v>
      </c>
      <c r="F922" s="8">
        <v>0.76</v>
      </c>
      <c r="H922" s="11"/>
      <c r="I922" s="11"/>
      <c r="J922" s="11"/>
    </row>
    <row r="923" spans="1:10" ht="15.75" x14ac:dyDescent="0.3">
      <c r="A923" s="13" t="str">
        <f>HYPERLINK("https://parts-sales.ru/parts/MAN/06670490004","06.67049-0004")</f>
        <v>06.67049-0004</v>
      </c>
      <c r="B923" s="13" t="str">
        <f>HYPERLINK("https://parts-sales.ru/parts/MAN/06670490004","Скоба для крепления труб 100,5-MAN183-B1")</f>
        <v>Скоба для крепления труб 100,5-MAN183-B1</v>
      </c>
      <c r="C923" s="5" t="s">
        <v>6</v>
      </c>
      <c r="D923" s="6">
        <v>2980.8</v>
      </c>
      <c r="E923" s="6">
        <v>204</v>
      </c>
      <c r="F923" s="9">
        <v>0.93</v>
      </c>
      <c r="H923" s="11"/>
      <c r="I923" s="11"/>
      <c r="J923" s="11"/>
    </row>
    <row r="924" spans="1:10" ht="15.75" x14ac:dyDescent="0.3">
      <c r="A924" s="12" t="str">
        <f>HYPERLINK("https://parts-sales.ru/parts/MAN/06670490005","06.67049-0005")</f>
        <v>06.67049-0005</v>
      </c>
      <c r="B924" s="12" t="str">
        <f>HYPERLINK("https://parts-sales.ru/parts/MAN/06670490005","Скоба для крепления труб 65,5-MAN183-B1")</f>
        <v>Скоба для крепления труб 65,5-MAN183-B1</v>
      </c>
      <c r="C924" s="3" t="s">
        <v>6</v>
      </c>
      <c r="D924" s="4">
        <v>1446</v>
      </c>
      <c r="E924" s="4">
        <v>275</v>
      </c>
      <c r="F924" s="8">
        <v>0.81</v>
      </c>
      <c r="H924" s="11"/>
      <c r="I924" s="11"/>
      <c r="J924" s="11"/>
    </row>
    <row r="925" spans="1:10" ht="15.75" x14ac:dyDescent="0.3">
      <c r="A925" s="13" t="str">
        <f>HYPERLINK("https://parts-sales.ru/parts/MAN/06670660208","06.67066-0208")</f>
        <v>06.67066-0208</v>
      </c>
      <c r="B925" s="13" t="str">
        <f>HYPERLINK("https://parts-sales.ru/parts/MAN/06670660208","Крепежная скоба 2X15-6-MAN183-B1")</f>
        <v>Крепежная скоба 2X15-6-MAN183-B1</v>
      </c>
      <c r="C925" s="5" t="s">
        <v>6</v>
      </c>
      <c r="D925" s="6">
        <v>56.4</v>
      </c>
      <c r="E925" s="6">
        <v>9</v>
      </c>
      <c r="F925" s="9">
        <v>0.84</v>
      </c>
      <c r="H925" s="11"/>
      <c r="I925" s="11"/>
      <c r="J925" s="11"/>
    </row>
    <row r="926" spans="1:10" ht="15.75" x14ac:dyDescent="0.3">
      <c r="A926" s="12" t="str">
        <f>HYPERLINK("https://parts-sales.ru/parts/MAN/06671226126","06.67122-6126")</f>
        <v>06.67122-6126</v>
      </c>
      <c r="B926" s="12" t="str">
        <f>HYPERLINK("https://parts-sales.ru/parts/MAN/06671226126","Хомутик для шланга A70-90X9-W1-2")</f>
        <v>Хомутик для шланга A70-90X9-W1-2</v>
      </c>
      <c r="C926" s="3" t="s">
        <v>6</v>
      </c>
      <c r="D926" s="4">
        <v>1058.4000000000001</v>
      </c>
      <c r="E926" s="4">
        <v>241</v>
      </c>
      <c r="F926" s="8">
        <v>0.77</v>
      </c>
      <c r="H926" s="11"/>
      <c r="I926" s="11"/>
      <c r="J926" s="11"/>
    </row>
    <row r="927" spans="1:10" ht="15.75" x14ac:dyDescent="0.3">
      <c r="A927" s="13" t="str">
        <f>HYPERLINK("https://parts-sales.ru/parts/MAN/06671234406","06.67123-4406")</f>
        <v>06.67123-4406</v>
      </c>
      <c r="B927" s="13" t="str">
        <f>HYPERLINK("https://parts-sales.ru/parts/MAN/06671234406","Хомутик для шланга H12-22")</f>
        <v>Хомутик для шланга H12-22</v>
      </c>
      <c r="C927" s="5" t="s">
        <v>6</v>
      </c>
      <c r="D927" s="6">
        <v>361.2</v>
      </c>
      <c r="E927" s="6">
        <v>66</v>
      </c>
      <c r="F927" s="9">
        <v>0.82</v>
      </c>
      <c r="H927" s="11"/>
      <c r="I927" s="11"/>
      <c r="J927" s="11"/>
    </row>
    <row r="928" spans="1:10" ht="15.75" x14ac:dyDescent="0.3">
      <c r="A928" s="12" t="str">
        <f>HYPERLINK("https://parts-sales.ru/parts/MAN/06671234408","06.67123-4408")</f>
        <v>06.67123-4408</v>
      </c>
      <c r="B928" s="12" t="str">
        <f>HYPERLINK("https://parts-sales.ru/parts/MAN/06671234408","Хомутик для шланга H16-27")</f>
        <v>Хомутик для шланга H16-27</v>
      </c>
      <c r="C928" s="3" t="s">
        <v>6</v>
      </c>
      <c r="D928" s="4">
        <v>447.6</v>
      </c>
      <c r="E928" s="4">
        <v>122</v>
      </c>
      <c r="F928" s="8">
        <v>0.73</v>
      </c>
      <c r="H928" s="11"/>
      <c r="I928" s="11"/>
      <c r="J928" s="11"/>
    </row>
    <row r="929" spans="1:10" ht="15.75" x14ac:dyDescent="0.3">
      <c r="A929" s="13" t="str">
        <f>HYPERLINK("https://parts-sales.ru/parts/MAN/06671234413","06.67123-4413")</f>
        <v>06.67123-4413</v>
      </c>
      <c r="B929" s="13" t="str">
        <f>HYPERLINK("https://parts-sales.ru/parts/MAN/06671234413","Хомутик для шланга H25-40")</f>
        <v>Хомутик для шланга H25-40</v>
      </c>
      <c r="C929" s="5" t="s">
        <v>6</v>
      </c>
      <c r="D929" s="6">
        <v>612</v>
      </c>
      <c r="E929" s="6">
        <v>160</v>
      </c>
      <c r="F929" s="9">
        <v>0.74</v>
      </c>
      <c r="H929" s="11"/>
      <c r="I929" s="11"/>
      <c r="J929" s="11"/>
    </row>
    <row r="930" spans="1:10" ht="15.75" x14ac:dyDescent="0.3">
      <c r="A930" s="12" t="str">
        <f>HYPERLINK("https://parts-sales.ru/parts/MAN/06671234415","06.67123-4415")</f>
        <v>06.67123-4415</v>
      </c>
      <c r="B930" s="12" t="str">
        <f>HYPERLINK("https://parts-sales.ru/parts/MAN/06671234415","Хомутик для шланга H35-50")</f>
        <v>Хомутик для шланга H35-50</v>
      </c>
      <c r="C930" s="3" t="s">
        <v>6</v>
      </c>
      <c r="D930" s="4">
        <v>730.8</v>
      </c>
      <c r="E930" s="4">
        <v>258</v>
      </c>
      <c r="F930" s="8">
        <v>0.65</v>
      </c>
      <c r="H930" s="11"/>
      <c r="I930" s="11"/>
      <c r="J930" s="11"/>
    </row>
    <row r="931" spans="1:10" ht="15.75" x14ac:dyDescent="0.3">
      <c r="A931" s="13" t="str">
        <f>HYPERLINK("https://parts-sales.ru/parts/MAN/06671234418","06.67123-4418")</f>
        <v>06.67123-4418</v>
      </c>
      <c r="B931" s="13" t="str">
        <f>HYPERLINK("https://parts-sales.ru/parts/MAN/06671234418","Хомутик для шланга H40-60")</f>
        <v>Хомутик для шланга H40-60</v>
      </c>
      <c r="C931" s="5" t="s">
        <v>6</v>
      </c>
      <c r="D931" s="6">
        <v>461.01</v>
      </c>
      <c r="E931" s="6">
        <v>193</v>
      </c>
      <c r="F931" s="9">
        <v>0.57999999999999996</v>
      </c>
      <c r="H931" s="11"/>
      <c r="I931" s="11"/>
      <c r="J931" s="11"/>
    </row>
    <row r="932" spans="1:10" ht="15.75" x14ac:dyDescent="0.3">
      <c r="A932" s="12" t="str">
        <f>HYPERLINK("https://parts-sales.ru/parts/MAN/06671234419","06.67123-4419")</f>
        <v>06.67123-4419</v>
      </c>
      <c r="B932" s="12" t="str">
        <f>HYPERLINK("https://parts-sales.ru/parts/MAN/06671234419","Хомутик для шланга H50-70")</f>
        <v>Хомутик для шланга H50-70</v>
      </c>
      <c r="C932" s="3" t="s">
        <v>6</v>
      </c>
      <c r="D932" s="4">
        <v>1166.4000000000001</v>
      </c>
      <c r="E932" s="4">
        <v>410</v>
      </c>
      <c r="F932" s="8">
        <v>0.65</v>
      </c>
      <c r="H932" s="11"/>
      <c r="I932" s="11"/>
      <c r="J932" s="11"/>
    </row>
    <row r="933" spans="1:10" ht="15.75" x14ac:dyDescent="0.3">
      <c r="A933" s="13" t="str">
        <f>HYPERLINK("https://parts-sales.ru/parts/MAN/06671234421","06.67123-4421")</f>
        <v>06.67123-4421</v>
      </c>
      <c r="B933" s="13" t="str">
        <f>HYPERLINK("https://parts-sales.ru/parts/MAN/06671234421","Хомутик для шланга H70-90")</f>
        <v>Хомутик для шланга H70-90</v>
      </c>
      <c r="C933" s="5" t="s">
        <v>6</v>
      </c>
      <c r="D933" s="6">
        <v>1669.2</v>
      </c>
      <c r="E933" s="6">
        <v>389</v>
      </c>
      <c r="F933" s="9">
        <v>0.77</v>
      </c>
      <c r="H933" s="11"/>
      <c r="I933" s="11"/>
      <c r="J933" s="11"/>
    </row>
    <row r="934" spans="1:10" ht="15.75" x14ac:dyDescent="0.3">
      <c r="A934" s="12" t="str">
        <f>HYPERLINK("https://parts-sales.ru/parts/MAN/06671234513","06.67123-4513")</f>
        <v>06.67123-4513</v>
      </c>
      <c r="B934" s="12" t="str">
        <f>HYPERLINK("https://parts-sales.ru/parts/MAN/06671234513","Хомутик для шланга HW25-40")</f>
        <v>Хомутик для шланга HW25-40</v>
      </c>
      <c r="C934" s="3" t="s">
        <v>6</v>
      </c>
      <c r="D934" s="4">
        <v>730.8</v>
      </c>
      <c r="E934" s="4">
        <v>149</v>
      </c>
      <c r="F934" s="8">
        <v>0.8</v>
      </c>
      <c r="H934" s="11"/>
      <c r="I934" s="11"/>
      <c r="J934" s="11"/>
    </row>
    <row r="935" spans="1:10" ht="15.75" x14ac:dyDescent="0.3">
      <c r="A935" s="13" t="str">
        <f>HYPERLINK("https://parts-sales.ru/parts/MAN/06671234515","06.67123-4515")</f>
        <v>06.67123-4515</v>
      </c>
      <c r="B935" s="13" t="str">
        <f>HYPERLINK("https://parts-sales.ru/parts/MAN/06671234515","Хомутик для шланга HW35-50")</f>
        <v>Хомутик для шланга HW35-50</v>
      </c>
      <c r="C935" s="5" t="s">
        <v>6</v>
      </c>
      <c r="D935" s="6">
        <v>1105.2</v>
      </c>
      <c r="E935" s="6">
        <v>144</v>
      </c>
      <c r="F935" s="9">
        <v>0.87</v>
      </c>
      <c r="H935" s="11"/>
      <c r="I935" s="11"/>
      <c r="J935" s="11"/>
    </row>
    <row r="936" spans="1:10" ht="15.75" x14ac:dyDescent="0.3">
      <c r="A936" s="12" t="str">
        <f>HYPERLINK("https://parts-sales.ru/parts/MAN/06671240346","06.67124-0346")</f>
        <v>06.67124-0346</v>
      </c>
      <c r="B936" s="12" t="str">
        <f>HYPERLINK("https://parts-sales.ru/parts/MAN/06671240346","Хомутик для шланга AS161-180-W4")</f>
        <v>Хомутик для шланга AS161-180-W4</v>
      </c>
      <c r="C936" s="3" t="s">
        <v>6</v>
      </c>
      <c r="D936" s="4">
        <v>3898.8</v>
      </c>
      <c r="E936" s="4">
        <v>777</v>
      </c>
      <c r="F936" s="8">
        <v>0.8</v>
      </c>
      <c r="H936" s="11"/>
      <c r="I936" s="11"/>
      <c r="J936" s="11"/>
    </row>
    <row r="937" spans="1:10" ht="15.75" x14ac:dyDescent="0.3">
      <c r="A937" s="13" t="str">
        <f>HYPERLINK("https://parts-sales.ru/parts/MAN/06671241226","06.67124-1226")</f>
        <v>06.67124-1226</v>
      </c>
      <c r="B937" s="13" t="str">
        <f>HYPERLINK("https://parts-sales.ru/parts/MAN/06671241226","Хомутик для шланга TS57-79-W4")</f>
        <v>Хомутик для шланга TS57-79-W4</v>
      </c>
      <c r="C937" s="5" t="s">
        <v>6</v>
      </c>
      <c r="D937" s="6">
        <v>2329.1999999999998</v>
      </c>
      <c r="E937" s="6">
        <v>447</v>
      </c>
      <c r="F937" s="9">
        <v>0.81</v>
      </c>
      <c r="H937" s="11"/>
      <c r="I937" s="11"/>
      <c r="J937" s="11"/>
    </row>
    <row r="938" spans="1:10" ht="15.75" x14ac:dyDescent="0.3">
      <c r="A938" s="12" t="str">
        <f>HYPERLINK("https://parts-sales.ru/parts/MAN/06671280404","06.67128-0404")</f>
        <v>06.67128-0404</v>
      </c>
      <c r="B938" s="12" t="str">
        <f>HYPERLINK("https://parts-sales.ru/parts/MAN/06671280404","Хомутик для шланга L8-16")</f>
        <v>Хомутик для шланга L8-16</v>
      </c>
      <c r="C938" s="3" t="s">
        <v>6</v>
      </c>
      <c r="D938" s="4">
        <v>433.2</v>
      </c>
      <c r="E938" s="4">
        <v>151</v>
      </c>
      <c r="F938" s="8">
        <v>0.65</v>
      </c>
      <c r="H938" s="11"/>
      <c r="I938" s="11"/>
      <c r="J938" s="11"/>
    </row>
    <row r="939" spans="1:10" ht="15.75" x14ac:dyDescent="0.3">
      <c r="A939" s="13" t="str">
        <f>HYPERLINK("https://parts-sales.ru/parts/MAN/06671280406","06.67128-0406")</f>
        <v>06.67128-0406</v>
      </c>
      <c r="B939" s="13" t="str">
        <f>HYPERLINK("https://parts-sales.ru/parts/MAN/06671280406","Хомутик для шланга L12-22")</f>
        <v>Хомутик для шланга L12-22</v>
      </c>
      <c r="C939" s="5" t="s">
        <v>6</v>
      </c>
      <c r="D939" s="6">
        <v>414</v>
      </c>
      <c r="E939" s="6">
        <v>32</v>
      </c>
      <c r="F939" s="9">
        <v>0.92</v>
      </c>
      <c r="H939" s="11"/>
      <c r="I939" s="11"/>
      <c r="J939" s="11"/>
    </row>
    <row r="940" spans="1:10" ht="15.75" x14ac:dyDescent="0.3">
      <c r="A940" s="12" t="str">
        <f>HYPERLINK("https://parts-sales.ru/parts/MAN/06671280411","06.67128-0411")</f>
        <v>06.67128-0411</v>
      </c>
      <c r="B940" s="12" t="str">
        <f>HYPERLINK("https://parts-sales.ru/parts/MAN/06671280411","Хомутик для шланга L20-32")</f>
        <v>Хомутик для шланга L20-32</v>
      </c>
      <c r="C940" s="3" t="s">
        <v>6</v>
      </c>
      <c r="D940" s="4">
        <v>414</v>
      </c>
      <c r="E940" s="4">
        <v>92</v>
      </c>
      <c r="F940" s="8">
        <v>0.78</v>
      </c>
      <c r="H940" s="11"/>
      <c r="I940" s="11"/>
      <c r="J940" s="11"/>
    </row>
    <row r="941" spans="1:10" ht="15.75" x14ac:dyDescent="0.3">
      <c r="A941" s="13" t="str">
        <f>HYPERLINK("https://parts-sales.ru/parts/MAN/06671280515","06.67128-0515")</f>
        <v>06.67128-0515</v>
      </c>
      <c r="B941" s="13" t="str">
        <f>HYPERLINK("https://parts-sales.ru/parts/MAN/06671280515","Хомутик для шланга S40-47")</f>
        <v>Хомутик для шланга S40-47</v>
      </c>
      <c r="C941" s="5" t="s">
        <v>6</v>
      </c>
      <c r="D941" s="6">
        <v>834</v>
      </c>
      <c r="E941" s="6">
        <v>164</v>
      </c>
      <c r="F941" s="9">
        <v>0.8</v>
      </c>
      <c r="H941" s="11"/>
      <c r="I941" s="11"/>
      <c r="J941" s="11"/>
    </row>
    <row r="942" spans="1:10" ht="15.75" x14ac:dyDescent="0.3">
      <c r="A942" s="12" t="str">
        <f>HYPERLINK("https://parts-sales.ru/parts/MAN/06671280529","06.67128-0529")</f>
        <v>06.67128-0529</v>
      </c>
      <c r="B942" s="12" t="str">
        <f>HYPERLINK("https://parts-sales.ru/parts/MAN/06671280529","Хомутик для шланга S70-90")</f>
        <v>Хомутик для шланга S70-90</v>
      </c>
      <c r="C942" s="3" t="s">
        <v>6</v>
      </c>
      <c r="D942" s="4">
        <v>406.48</v>
      </c>
      <c r="E942" s="4">
        <v>244</v>
      </c>
      <c r="F942" s="8">
        <v>0.4</v>
      </c>
      <c r="H942" s="11"/>
      <c r="I942" s="11"/>
      <c r="J942" s="11"/>
    </row>
    <row r="943" spans="1:10" ht="15.75" x14ac:dyDescent="0.3">
      <c r="A943" s="13" t="str">
        <f>HYPERLINK("https://parts-sales.ru/parts/MAN/06671280534","06.67128-0534")</f>
        <v>06.67128-0534</v>
      </c>
      <c r="B943" s="13" t="str">
        <f>HYPERLINK("https://parts-sales.ru/parts/MAN/06671280534","Хомутик для шланга S80-100")</f>
        <v>Хомутик для шланга S80-100</v>
      </c>
      <c r="C943" s="5" t="s">
        <v>6</v>
      </c>
      <c r="D943" s="6">
        <v>1825.26</v>
      </c>
      <c r="E943" s="6">
        <v>706</v>
      </c>
      <c r="F943" s="9">
        <v>0.61</v>
      </c>
      <c r="H943" s="11"/>
      <c r="I943" s="11"/>
      <c r="J943" s="11"/>
    </row>
    <row r="944" spans="1:10" ht="15.75" x14ac:dyDescent="0.3">
      <c r="A944" s="12" t="str">
        <f>HYPERLINK("https://parts-sales.ru/parts/MAN/06671280542","06.67128-0542")</f>
        <v>06.67128-0542</v>
      </c>
      <c r="B944" s="12" t="str">
        <f>HYPERLINK("https://parts-sales.ru/parts/MAN/06671280542","Хомутик для шланга S120-140")</f>
        <v>Хомутик для шланга S120-140</v>
      </c>
      <c r="C944" s="3" t="s">
        <v>6</v>
      </c>
      <c r="D944" s="4">
        <v>3903.6</v>
      </c>
      <c r="E944" s="4">
        <v>110</v>
      </c>
      <c r="F944" s="8">
        <v>0.97</v>
      </c>
      <c r="H944" s="11"/>
      <c r="I944" s="11"/>
      <c r="J944" s="11"/>
    </row>
    <row r="945" spans="1:10" ht="15.75" x14ac:dyDescent="0.3">
      <c r="A945" s="13" t="str">
        <f>HYPERLINK("https://parts-sales.ru/parts/MAN/06671280546","06.67128-0546")</f>
        <v>06.67128-0546</v>
      </c>
      <c r="B945" s="13" t="str">
        <f>HYPERLINK("https://parts-sales.ru/parts/MAN/06671280546","Хомутик для шланга S160-180")</f>
        <v>Хомутик для шланга S160-180</v>
      </c>
      <c r="C945" s="5" t="s">
        <v>6</v>
      </c>
      <c r="D945" s="6">
        <v>5191.2</v>
      </c>
      <c r="E945" s="6">
        <v>1286</v>
      </c>
      <c r="F945" s="9">
        <v>0.75</v>
      </c>
      <c r="H945" s="11"/>
      <c r="I945" s="11"/>
      <c r="J945" s="11"/>
    </row>
    <row r="946" spans="1:10" ht="15.75" x14ac:dyDescent="0.3">
      <c r="A946" s="12" t="str">
        <f>HYPERLINK("https://parts-sales.ru/parts/MAN/06671500204","06.67150-0204")</f>
        <v>06.67150-0204</v>
      </c>
      <c r="B946" s="12" t="str">
        <f>HYPERLINK("https://parts-sales.ru/parts/MAN/06671500204","Крепежная скоба 12-MAN183-B1")</f>
        <v>Крепежная скоба 12-MAN183-B1</v>
      </c>
      <c r="C946" s="3" t="s">
        <v>6</v>
      </c>
      <c r="D946" s="4">
        <v>598.79999999999995</v>
      </c>
      <c r="E946" s="4">
        <v>3</v>
      </c>
      <c r="F946" s="8">
        <v>0.99</v>
      </c>
      <c r="H946" s="11"/>
      <c r="I946" s="11"/>
      <c r="J946" s="11"/>
    </row>
    <row r="947" spans="1:10" ht="15.75" x14ac:dyDescent="0.3">
      <c r="A947" s="13" t="str">
        <f>HYPERLINK("https://parts-sales.ru/parts/MAN/06671500205","06.67150-0205")</f>
        <v>06.67150-0205</v>
      </c>
      <c r="B947" s="13" t="str">
        <f>HYPERLINK("https://parts-sales.ru/parts/MAN/06671500205","Крепежная скоба 15-MAN183-B1")</f>
        <v>Крепежная скоба 15-MAN183-B1</v>
      </c>
      <c r="C947" s="5" t="s">
        <v>6</v>
      </c>
      <c r="D947" s="6">
        <v>598.79999999999995</v>
      </c>
      <c r="E947" s="6">
        <v>5</v>
      </c>
      <c r="F947" s="9">
        <v>0.99</v>
      </c>
      <c r="H947" s="11"/>
      <c r="I947" s="11"/>
      <c r="J947" s="11"/>
    </row>
    <row r="948" spans="1:10" ht="15.75" x14ac:dyDescent="0.3">
      <c r="A948" s="12" t="str">
        <f>HYPERLINK("https://parts-sales.ru/parts/MAN/06671500216","06.67150-0216")</f>
        <v>06.67150-0216</v>
      </c>
      <c r="B948" s="12" t="str">
        <f>HYPERLINK("https://parts-sales.ru/parts/MAN/06671500216","Крепежная скоба 13-MAN183-B1")</f>
        <v>Крепежная скоба 13-MAN183-B1</v>
      </c>
      <c r="C948" s="3" t="s">
        <v>6</v>
      </c>
      <c r="D948" s="4">
        <v>351.6</v>
      </c>
      <c r="E948" s="4">
        <v>3</v>
      </c>
      <c r="F948" s="8">
        <v>0.99</v>
      </c>
      <c r="H948" s="11"/>
      <c r="I948" s="11"/>
      <c r="J948" s="11"/>
    </row>
    <row r="949" spans="1:10" ht="15.75" x14ac:dyDescent="0.3">
      <c r="A949" s="13" t="str">
        <f>HYPERLINK("https://parts-sales.ru/parts/MAN/06671500407","06.67150-0407")</f>
        <v>06.67150-0407</v>
      </c>
      <c r="B949" s="13" t="str">
        <f>HYPERLINK("https://parts-sales.ru/parts/MAN/06671500407","Крепежная скоба 18-1-E-G-RAL9011")</f>
        <v>Крепежная скоба 18-1-E-G-RAL9011</v>
      </c>
      <c r="C949" s="5" t="s">
        <v>6</v>
      </c>
      <c r="D949" s="6">
        <v>435.6</v>
      </c>
      <c r="E949" s="6">
        <v>11</v>
      </c>
      <c r="F949" s="9">
        <v>0.97</v>
      </c>
      <c r="H949" s="11"/>
      <c r="I949" s="11"/>
      <c r="J949" s="11"/>
    </row>
    <row r="950" spans="1:10" ht="15.75" x14ac:dyDescent="0.3">
      <c r="A950" s="12" t="str">
        <f>HYPERLINK("https://parts-sales.ru/parts/MAN/06672236160","06.67223-6160")</f>
        <v>06.67223-6160</v>
      </c>
      <c r="B950" s="12" t="str">
        <f>HYPERLINK("https://parts-sales.ru/parts/MAN/06672236160","Хомутик для шланга C1-1-160X25-W2-2")</f>
        <v>Хомутик для шланга C1-1-160X25-W2-2</v>
      </c>
      <c r="C950" s="3" t="s">
        <v>6</v>
      </c>
      <c r="D950" s="4">
        <v>2233.1999999999998</v>
      </c>
      <c r="E950" s="4">
        <v>470</v>
      </c>
      <c r="F950" s="8">
        <v>0.79</v>
      </c>
      <c r="H950" s="11"/>
      <c r="I950" s="11"/>
      <c r="J950" s="11"/>
    </row>
    <row r="951" spans="1:10" ht="15.75" x14ac:dyDescent="0.3">
      <c r="A951" s="13" t="str">
        <f>HYPERLINK("https://parts-sales.ru/parts/MAN/06673000620","06.67300-0620")</f>
        <v>06.67300-0620</v>
      </c>
      <c r="B951" s="13" t="str">
        <f>HYPERLINK("https://parts-sales.ru/parts/MAN/06673000620","Крепежный зажим D1-6X15-W4-EPDM")</f>
        <v>Крепежный зажим D1-6X15-W4-EPDM</v>
      </c>
      <c r="C951" s="5" t="s">
        <v>6</v>
      </c>
      <c r="D951" s="6">
        <v>330</v>
      </c>
      <c r="E951" s="6">
        <v>45</v>
      </c>
      <c r="F951" s="9">
        <v>0.86</v>
      </c>
      <c r="H951" s="11"/>
      <c r="I951" s="11"/>
      <c r="J951" s="11"/>
    </row>
    <row r="952" spans="1:10" ht="15.75" x14ac:dyDescent="0.3">
      <c r="A952" s="12" t="str">
        <f>HYPERLINK("https://parts-sales.ru/parts/MAN/06673001220","06.67300-1220")</f>
        <v>06.67300-1220</v>
      </c>
      <c r="B952" s="12" t="str">
        <f>HYPERLINK("https://parts-sales.ru/parts/MAN/06673001220","Крепежный зажим D1-12X15-W4-EPDM")</f>
        <v>Крепежный зажим D1-12X15-W4-EPDM</v>
      </c>
      <c r="C952" s="3" t="s">
        <v>6</v>
      </c>
      <c r="D952" s="4">
        <v>253.2</v>
      </c>
      <c r="E952" s="4">
        <v>25</v>
      </c>
      <c r="F952" s="8">
        <v>0.9</v>
      </c>
      <c r="H952" s="11"/>
      <c r="I952" s="11"/>
      <c r="J952" s="11"/>
    </row>
    <row r="953" spans="1:10" ht="15.75" x14ac:dyDescent="0.3">
      <c r="A953" s="13" t="str">
        <f>HYPERLINK("https://parts-sales.ru/parts/MAN/06673001420","06.67300-1420")</f>
        <v>06.67300-1420</v>
      </c>
      <c r="B953" s="13" t="str">
        <f>HYPERLINK("https://parts-sales.ru/parts/MAN/06673001420","Крепежный зажим D1-14X15-W4-EPDM")</f>
        <v>Крепежный зажим D1-14X15-W4-EPDM</v>
      </c>
      <c r="C953" s="5" t="s">
        <v>6</v>
      </c>
      <c r="D953" s="6">
        <v>446.4</v>
      </c>
      <c r="E953" s="6">
        <v>93</v>
      </c>
      <c r="F953" s="9">
        <v>0.79</v>
      </c>
      <c r="H953" s="11"/>
      <c r="I953" s="11"/>
      <c r="J953" s="11"/>
    </row>
    <row r="954" spans="1:10" ht="15.75" x14ac:dyDescent="0.3">
      <c r="A954" s="12" t="str">
        <f>HYPERLINK("https://parts-sales.ru/parts/MAN/06673001530","06.67300-1530")</f>
        <v>06.67300-1530</v>
      </c>
      <c r="B954" s="12" t="str">
        <f>HYPERLINK("https://parts-sales.ru/parts/MAN/06673001530","Крепежный зажим D1-15X20-W4-EPDM")</f>
        <v>Крепежный зажим D1-15X20-W4-EPDM</v>
      </c>
      <c r="C954" s="3" t="s">
        <v>6</v>
      </c>
      <c r="D954" s="4">
        <v>666</v>
      </c>
      <c r="E954" s="4">
        <v>30</v>
      </c>
      <c r="F954" s="8">
        <v>0.95</v>
      </c>
      <c r="H954" s="11"/>
      <c r="I954" s="11"/>
      <c r="J954" s="11"/>
    </row>
    <row r="955" spans="1:10" ht="15.75" x14ac:dyDescent="0.3">
      <c r="A955" s="13" t="str">
        <f>HYPERLINK("https://parts-sales.ru/parts/MAN/06673001620","06.67300-1620")</f>
        <v>06.67300-1620</v>
      </c>
      <c r="B955" s="13" t="str">
        <f>HYPERLINK("https://parts-sales.ru/parts/MAN/06673001620","Крепежный зажим D1-16X15-W4-EPDM")</f>
        <v>Крепежный зажим D1-16X15-W4-EPDM</v>
      </c>
      <c r="C955" s="5" t="s">
        <v>6</v>
      </c>
      <c r="D955" s="6">
        <v>436.8</v>
      </c>
      <c r="E955" s="6">
        <v>15</v>
      </c>
      <c r="F955" s="9">
        <v>0.97</v>
      </c>
      <c r="H955" s="11"/>
      <c r="I955" s="11"/>
      <c r="J955" s="11"/>
    </row>
    <row r="956" spans="1:10" ht="15.75" x14ac:dyDescent="0.3">
      <c r="A956" s="12" t="str">
        <f>HYPERLINK("https://parts-sales.ru/parts/MAN/06673001830","06.67300-1830")</f>
        <v>06.67300-1830</v>
      </c>
      <c r="B956" s="12" t="str">
        <f>HYPERLINK("https://parts-sales.ru/parts/MAN/06673001830","Крепежный зажим D1-18X20-W4-EPDM")</f>
        <v>Крепежный зажим D1-18X20-W4-EPDM</v>
      </c>
      <c r="C956" s="3" t="s">
        <v>6</v>
      </c>
      <c r="D956" s="4">
        <v>730.8</v>
      </c>
      <c r="E956" s="4">
        <v>107</v>
      </c>
      <c r="F956" s="8">
        <v>0.85</v>
      </c>
      <c r="H956" s="11"/>
      <c r="I956" s="11"/>
      <c r="J956" s="11"/>
    </row>
    <row r="957" spans="1:10" ht="15.75" x14ac:dyDescent="0.3">
      <c r="A957" s="13" t="str">
        <f>HYPERLINK("https://parts-sales.ru/parts/MAN/06673002220","06.67300-2220")</f>
        <v>06.67300-2220</v>
      </c>
      <c r="B957" s="13" t="str">
        <f>HYPERLINK("https://parts-sales.ru/parts/MAN/06673002220","Крепежный зажим D1-22X15-W4-EPDM")</f>
        <v>Крепежный зажим D1-22X15-W4-EPDM</v>
      </c>
      <c r="C957" s="5" t="s">
        <v>6</v>
      </c>
      <c r="D957" s="6">
        <v>504</v>
      </c>
      <c r="E957" s="6">
        <v>101</v>
      </c>
      <c r="F957" s="9">
        <v>0.8</v>
      </c>
      <c r="H957" s="11"/>
      <c r="I957" s="11"/>
      <c r="J957" s="11"/>
    </row>
    <row r="958" spans="1:10" ht="15.75" x14ac:dyDescent="0.3">
      <c r="A958" s="12" t="str">
        <f>HYPERLINK("https://parts-sales.ru/parts/MAN/06673003420","06.67300-3420")</f>
        <v>06.67300-3420</v>
      </c>
      <c r="B958" s="12" t="str">
        <f>HYPERLINK("https://parts-sales.ru/parts/MAN/06673003420","Крепежный зажим D1-34X15-W4-EPDM")</f>
        <v>Крепежный зажим D1-34X15-W4-EPDM</v>
      </c>
      <c r="C958" s="3" t="s">
        <v>6</v>
      </c>
      <c r="D958" s="4">
        <v>561.6</v>
      </c>
      <c r="E958" s="4">
        <v>63</v>
      </c>
      <c r="F958" s="8">
        <v>0.89</v>
      </c>
      <c r="H958" s="11"/>
      <c r="I958" s="11"/>
      <c r="J958" s="11"/>
    </row>
    <row r="959" spans="1:10" ht="15.75" x14ac:dyDescent="0.3">
      <c r="A959" s="13" t="str">
        <f>HYPERLINK("https://parts-sales.ru/parts/MAN/06673003829","06.67300-3829")</f>
        <v>06.67300-3829</v>
      </c>
      <c r="B959" s="13" t="str">
        <f>HYPERLINK("https://parts-sales.ru/parts/MAN/06673003829","Крепежный зажим D1-38X15-W5-EPDM")</f>
        <v>Крепежный зажим D1-38X15-W5-EPDM</v>
      </c>
      <c r="C959" s="5" t="s">
        <v>6</v>
      </c>
      <c r="D959" s="6">
        <v>322.76</v>
      </c>
      <c r="E959" s="6">
        <v>134</v>
      </c>
      <c r="F959" s="9">
        <v>0.57999999999999996</v>
      </c>
      <c r="H959" s="11"/>
      <c r="I959" s="11"/>
      <c r="J959" s="11"/>
    </row>
    <row r="960" spans="1:10" ht="15.75" x14ac:dyDescent="0.3">
      <c r="A960" s="12" t="str">
        <f>HYPERLINK("https://parts-sales.ru/parts/MAN/06673005046","06.67300-5046")</f>
        <v>06.67300-5046</v>
      </c>
      <c r="B960" s="12" t="str">
        <f>HYPERLINK("https://parts-sales.ru/parts/MAN/06673005046","Крепежный зажим D1-50X25-W1-EPDM-2")</f>
        <v>Крепежный зажим D1-50X25-W1-EPDM-2</v>
      </c>
      <c r="C960" s="3" t="s">
        <v>6</v>
      </c>
      <c r="D960" s="4">
        <v>816</v>
      </c>
      <c r="E960" s="4">
        <v>236</v>
      </c>
      <c r="F960" s="8">
        <v>0.71</v>
      </c>
      <c r="H960" s="11"/>
      <c r="I960" s="11"/>
      <c r="J960" s="11"/>
    </row>
    <row r="961" spans="1:10" ht="15.75" x14ac:dyDescent="0.3">
      <c r="A961" s="13" t="str">
        <f>HYPERLINK("https://parts-sales.ru/parts/MAN/06673006040","06.67300-6040")</f>
        <v>06.67300-6040</v>
      </c>
      <c r="B961" s="13" t="str">
        <f>HYPERLINK("https://parts-sales.ru/parts/MAN/06673006040","Крепежный зажим D1-60X25-W4-EPDM")</f>
        <v>Крепежный зажим D1-60X25-W4-EPDM</v>
      </c>
      <c r="C961" s="5" t="s">
        <v>6</v>
      </c>
      <c r="D961" s="6">
        <v>1988.4</v>
      </c>
      <c r="E961" s="6">
        <v>307</v>
      </c>
      <c r="F961" s="9">
        <v>0.85</v>
      </c>
      <c r="H961" s="11"/>
      <c r="I961" s="11"/>
      <c r="J961" s="11"/>
    </row>
    <row r="962" spans="1:10" ht="15.75" x14ac:dyDescent="0.3">
      <c r="A962" s="12" t="str">
        <f>HYPERLINK("https://parts-sales.ru/parts/MAN/06673602674","06.67360-2674")</f>
        <v>06.67360-2674</v>
      </c>
      <c r="B962" s="12" t="str">
        <f>HYPERLINK("https://parts-sales.ru/parts/MAN/06673602674","Крепежный зажим G1-26X15-W4")</f>
        <v>Крепежный зажим G1-26X15-W4</v>
      </c>
      <c r="C962" s="3" t="s">
        <v>6</v>
      </c>
      <c r="D962" s="4">
        <v>1006.8</v>
      </c>
      <c r="E962" s="4">
        <v>510</v>
      </c>
      <c r="F962" s="8">
        <v>0.49</v>
      </c>
      <c r="H962" s="11"/>
      <c r="I962" s="11"/>
      <c r="J962" s="11"/>
    </row>
    <row r="963" spans="1:10" ht="15.75" x14ac:dyDescent="0.3">
      <c r="A963" s="13" t="str">
        <f>HYPERLINK("https://parts-sales.ru/parts/MAN/06674190001","06.67419-0001")</f>
        <v>06.67419-0001</v>
      </c>
      <c r="B963" s="13" t="str">
        <f>HYPERLINK("https://parts-sales.ru/parts/MAN/06674190001","Профильная скоба 160X20-W4-QRC")</f>
        <v>Профильная скоба 160X20-W4-QRC</v>
      </c>
      <c r="C963" s="5" t="s">
        <v>6</v>
      </c>
      <c r="D963" s="6">
        <v>10768.8</v>
      </c>
      <c r="E963" s="6">
        <v>1669</v>
      </c>
      <c r="F963" s="9">
        <v>0.85</v>
      </c>
      <c r="H963" s="11"/>
      <c r="I963" s="11"/>
      <c r="J963" s="11"/>
    </row>
    <row r="964" spans="1:10" ht="15.75" x14ac:dyDescent="0.3">
      <c r="A964" s="12" t="str">
        <f>HYPERLINK("https://parts-sales.ru/parts/MAN/06674190007","06.67419-0007")</f>
        <v>06.67419-0007</v>
      </c>
      <c r="B964" s="12" t="str">
        <f>HYPERLINK("https://parts-sales.ru/parts/MAN/06674190007","Профильная скоба 31X11-W1")</f>
        <v>Профильная скоба 31X11-W1</v>
      </c>
      <c r="C964" s="3" t="s">
        <v>6</v>
      </c>
      <c r="D964" s="4">
        <v>1029.5999999999999</v>
      </c>
      <c r="E964" s="4">
        <v>229</v>
      </c>
      <c r="F964" s="8">
        <v>0.78</v>
      </c>
      <c r="H964" s="11"/>
      <c r="I964" s="11"/>
      <c r="J964" s="11"/>
    </row>
    <row r="965" spans="1:10" ht="15.75" x14ac:dyDescent="0.3">
      <c r="A965" s="13" t="str">
        <f>HYPERLINK("https://parts-sales.ru/parts/MAN/06674201218","06.67420-1218")</f>
        <v>06.67420-1218</v>
      </c>
      <c r="B965" s="13" t="str">
        <f>HYPERLINK("https://parts-sales.ru/parts/MAN/06674201218","Ленточный хомут рессоры A-18X12")</f>
        <v>Ленточный хомут рессоры A-18X12</v>
      </c>
      <c r="C965" s="5" t="s">
        <v>6</v>
      </c>
      <c r="D965" s="6">
        <v>288</v>
      </c>
      <c r="E965" s="6">
        <v>63</v>
      </c>
      <c r="F965" s="9">
        <v>0.78</v>
      </c>
      <c r="H965" s="11"/>
      <c r="I965" s="11"/>
      <c r="J965" s="11"/>
    </row>
    <row r="966" spans="1:10" ht="15.75" x14ac:dyDescent="0.3">
      <c r="A966" s="12" t="str">
        <f>HYPERLINK("https://parts-sales.ru/parts/MAN/06674201226","06.67420-1226")</f>
        <v>06.67420-1226</v>
      </c>
      <c r="B966" s="12" t="str">
        <f>HYPERLINK("https://parts-sales.ru/parts/MAN/06674201226","Ленточный хомут рессоры A-26X12")</f>
        <v>Ленточный хомут рессоры A-26X12</v>
      </c>
      <c r="C966" s="3" t="s">
        <v>6</v>
      </c>
      <c r="D966" s="4">
        <v>574.79999999999995</v>
      </c>
      <c r="E966" s="4">
        <v>152</v>
      </c>
      <c r="F966" s="8">
        <v>0.74</v>
      </c>
      <c r="H966" s="11"/>
      <c r="I966" s="11"/>
      <c r="J966" s="11"/>
    </row>
    <row r="967" spans="1:10" ht="15.75" x14ac:dyDescent="0.3">
      <c r="A967" s="13" t="str">
        <f>HYPERLINK("https://parts-sales.ru/parts/MAN/06674201238","06.67420-1238")</f>
        <v>06.67420-1238</v>
      </c>
      <c r="B967" s="13" t="str">
        <f>HYPERLINK("https://parts-sales.ru/parts/MAN/06674201238","Ленточный хомут рессоры A-38X12")</f>
        <v>Ленточный хомут рессоры A-38X12</v>
      </c>
      <c r="C967" s="5" t="s">
        <v>6</v>
      </c>
      <c r="D967" s="6">
        <v>294</v>
      </c>
      <c r="E967" s="6">
        <v>65</v>
      </c>
      <c r="F967" s="9">
        <v>0.78</v>
      </c>
      <c r="H967" s="11"/>
      <c r="I967" s="11"/>
      <c r="J967" s="11"/>
    </row>
    <row r="968" spans="1:10" ht="15.75" x14ac:dyDescent="0.3">
      <c r="A968" s="12" t="str">
        <f>HYPERLINK("https://parts-sales.ru/parts/MAN/06674201247","06.67420-1247")</f>
        <v>06.67420-1247</v>
      </c>
      <c r="B968" s="12" t="str">
        <f>HYPERLINK("https://parts-sales.ru/parts/MAN/06674201247","Ленточный хомут рессоры A-47X12")</f>
        <v>Ленточный хомут рессоры A-47X12</v>
      </c>
      <c r="C968" s="3" t="s">
        <v>6</v>
      </c>
      <c r="D968" s="4">
        <v>424.8</v>
      </c>
      <c r="E968" s="4">
        <v>95</v>
      </c>
      <c r="F968" s="8">
        <v>0.78</v>
      </c>
      <c r="H968" s="11"/>
      <c r="I968" s="11"/>
      <c r="J968" s="11"/>
    </row>
    <row r="969" spans="1:10" ht="15.75" x14ac:dyDescent="0.3">
      <c r="A969" s="13" t="str">
        <f>HYPERLINK("https://parts-sales.ru/parts/MAN/06674346131","06.67434-6131")</f>
        <v>06.67434-6131</v>
      </c>
      <c r="B969" s="13" t="str">
        <f>HYPERLINK("https://parts-sales.ru/parts/MAN/06674346131","Профильная скоба 40X17X131-W4-S")</f>
        <v>Профильная скоба 40X17X131-W4-S</v>
      </c>
      <c r="C969" s="5" t="s">
        <v>6</v>
      </c>
      <c r="D969" s="6">
        <v>5700</v>
      </c>
      <c r="E969" s="6">
        <v>2296</v>
      </c>
      <c r="F969" s="9">
        <v>0.6</v>
      </c>
      <c r="H969" s="11"/>
      <c r="I969" s="11"/>
      <c r="J969" s="11"/>
    </row>
    <row r="970" spans="1:10" ht="15.75" x14ac:dyDescent="0.3">
      <c r="A970" s="12" t="str">
        <f>HYPERLINK("https://parts-sales.ru/parts/MAN/06710200610","06.71020-0610")</f>
        <v>06.71020-0610</v>
      </c>
      <c r="B970" s="12" t="str">
        <f>HYPERLINK("https://parts-sales.ru/parts/MAN/06710200610","Самонарезающее кольцо L18-ST-MAN183-B4")</f>
        <v>Самонарезающее кольцо L18-ST-MAN183-B4</v>
      </c>
      <c r="C970" s="3" t="s">
        <v>6</v>
      </c>
      <c r="D970" s="4">
        <v>781.2</v>
      </c>
      <c r="E970" s="4">
        <v>183</v>
      </c>
      <c r="F970" s="8">
        <v>0.77</v>
      </c>
      <c r="H970" s="11"/>
      <c r="I970" s="11"/>
      <c r="J970" s="11"/>
    </row>
    <row r="971" spans="1:10" ht="15.75" x14ac:dyDescent="0.3">
      <c r="A971" s="13" t="str">
        <f>HYPERLINK("https://parts-sales.ru/parts/MAN/06710200618","06.71020-0618")</f>
        <v>06.71020-0618</v>
      </c>
      <c r="B971" s="13" t="str">
        <f>HYPERLINK("https://parts-sales.ru/parts/MAN/06710200618","Самонарезающее кольцо S12-ST-MAN183-B4")</f>
        <v>Самонарезающее кольцо S12-ST-MAN183-B4</v>
      </c>
      <c r="C971" s="5" t="s">
        <v>6</v>
      </c>
      <c r="D971" s="6">
        <v>685.2</v>
      </c>
      <c r="E971" s="6">
        <v>142</v>
      </c>
      <c r="F971" s="9">
        <v>0.79</v>
      </c>
      <c r="H971" s="11"/>
      <c r="I971" s="11"/>
      <c r="J971" s="11"/>
    </row>
    <row r="972" spans="1:10" ht="15.75" x14ac:dyDescent="0.3">
      <c r="A972" s="12" t="str">
        <f>HYPERLINK("https://parts-sales.ru/parts/MAN/06710304112","06.71030-4112")</f>
        <v>06.71030-4112</v>
      </c>
      <c r="B972" s="12" t="str">
        <f>HYPERLINK("https://parts-sales.ru/parts/MAN/06710304112","Накидная гайка N-L8-FLPST-MAN183-B1")</f>
        <v>Накидная гайка N-L8-FLPST-MAN183-B1</v>
      </c>
      <c r="C972" s="3" t="s">
        <v>6</v>
      </c>
      <c r="D972" s="4">
        <v>675.6</v>
      </c>
      <c r="E972" s="4">
        <v>138</v>
      </c>
      <c r="F972" s="8">
        <v>0.8</v>
      </c>
      <c r="H972" s="11"/>
      <c r="I972" s="11"/>
      <c r="J972" s="11"/>
    </row>
    <row r="973" spans="1:10" ht="15.75" x14ac:dyDescent="0.3">
      <c r="A973" s="13" t="str">
        <f>HYPERLINK("https://parts-sales.ru/parts/MAN/06710304114","06.71030-4114")</f>
        <v>06.71030-4114</v>
      </c>
      <c r="B973" s="13" t="str">
        <f>HYPERLINK("https://parts-sales.ru/parts/MAN/06710304114","Накидная гайка N-L12-FLPST-MAN183-B1")</f>
        <v>Накидная гайка N-L12-FLPST-MAN183-B1</v>
      </c>
      <c r="C973" s="5" t="s">
        <v>6</v>
      </c>
      <c r="D973" s="6">
        <v>638.4</v>
      </c>
      <c r="E973" s="6">
        <v>102</v>
      </c>
      <c r="F973" s="9">
        <v>0.84</v>
      </c>
      <c r="H973" s="11"/>
      <c r="I973" s="11"/>
      <c r="J973" s="11"/>
    </row>
    <row r="974" spans="1:10" ht="15.75" x14ac:dyDescent="0.3">
      <c r="A974" s="12" t="str">
        <f>HYPERLINK("https://parts-sales.ru/parts/MAN/06710304116","06.71030-4116")</f>
        <v>06.71030-4116</v>
      </c>
      <c r="B974" s="12" t="str">
        <f>HYPERLINK("https://parts-sales.ru/parts/MAN/06710304116","Накидная гайка N-L18-FLPST-MAN183-B1")</f>
        <v>Накидная гайка N-L18-FLPST-MAN183-B1</v>
      </c>
      <c r="C974" s="3" t="s">
        <v>6</v>
      </c>
      <c r="D974" s="4">
        <v>691.2</v>
      </c>
      <c r="E974" s="4">
        <v>156</v>
      </c>
      <c r="F974" s="8">
        <v>0.77</v>
      </c>
      <c r="H974" s="11"/>
      <c r="I974" s="11"/>
      <c r="J974" s="11"/>
    </row>
    <row r="975" spans="1:10" ht="15.75" x14ac:dyDescent="0.3">
      <c r="A975" s="13" t="str">
        <f>HYPERLINK("https://parts-sales.ru/parts/MAN/06710602105","06.71060-2105")</f>
        <v>06.71060-2105</v>
      </c>
      <c r="B975" s="13" t="str">
        <f>HYPERLINK("https://parts-sales.ru/parts/MAN/06710602105","Прямой ввертный штуцер L15A-M-ST-MAN183-")</f>
        <v>Прямой ввертный штуцер L15A-M-ST-MAN183-</v>
      </c>
      <c r="C975" s="5" t="s">
        <v>6</v>
      </c>
      <c r="D975" s="6">
        <v>1248</v>
      </c>
      <c r="E975" s="6">
        <v>208</v>
      </c>
      <c r="F975" s="9">
        <v>0.83</v>
      </c>
      <c r="H975" s="11"/>
      <c r="I975" s="11"/>
      <c r="J975" s="11"/>
    </row>
    <row r="976" spans="1:10" ht="15.75" x14ac:dyDescent="0.3">
      <c r="A976" s="12" t="str">
        <f>HYPERLINK("https://parts-sales.ru/parts/MAN/06710602106","06.71060-2106")</f>
        <v>06.71060-2106</v>
      </c>
      <c r="B976" s="12" t="str">
        <f>HYPERLINK("https://parts-sales.ru/parts/MAN/06710602106","Прямой ввертный штуцер L18A-M-ST-MAN183-")</f>
        <v>Прямой ввертный штуцер L18A-M-ST-MAN183-</v>
      </c>
      <c r="C976" s="3" t="s">
        <v>6</v>
      </c>
      <c r="D976" s="4">
        <v>1503.6</v>
      </c>
      <c r="E976" s="4">
        <v>376</v>
      </c>
      <c r="F976" s="8">
        <v>0.75</v>
      </c>
      <c r="H976" s="11"/>
      <c r="I976" s="11"/>
      <c r="J976" s="11"/>
    </row>
    <row r="977" spans="1:10" ht="15.75" x14ac:dyDescent="0.3">
      <c r="A977" s="13" t="str">
        <f>HYPERLINK("https://parts-sales.ru/parts/MAN/06710602155","06.71060-2155")</f>
        <v>06.71060-2155</v>
      </c>
      <c r="B977" s="13" t="str">
        <f>HYPERLINK("https://parts-sales.ru/parts/MAN/06710602155","Прямой ввертный штуцер SDS-L15XM18-B-MAN")</f>
        <v>Прямой ввертный штуцер SDS-L15XM18-B-MAN</v>
      </c>
      <c r="C977" s="5" t="s">
        <v>6</v>
      </c>
      <c r="D977" s="6">
        <v>1248</v>
      </c>
      <c r="E977" s="6">
        <v>42</v>
      </c>
      <c r="F977" s="9">
        <v>0.97</v>
      </c>
      <c r="H977" s="11"/>
      <c r="I977" s="11"/>
      <c r="J977" s="11"/>
    </row>
    <row r="978" spans="1:10" ht="15.75" x14ac:dyDescent="0.3">
      <c r="A978" s="12" t="str">
        <f>HYPERLINK("https://parts-sales.ru/parts/MAN/06710690032","06.71069-0032")</f>
        <v>06.71069-0032</v>
      </c>
      <c r="B978" s="12" t="str">
        <f>HYPERLINK("https://parts-sales.ru/parts/MAN/06710690032","Прямой ввертный штуцер L15B-M26X1,5-ST-M")</f>
        <v>Прямой ввертный штуцер L15B-M26X1,5-ST-M</v>
      </c>
      <c r="C978" s="3" t="s">
        <v>6</v>
      </c>
      <c r="D978" s="4">
        <v>5755.2</v>
      </c>
      <c r="E978" s="4">
        <v>847</v>
      </c>
      <c r="F978" s="8">
        <v>0.85</v>
      </c>
      <c r="H978" s="11"/>
      <c r="I978" s="11"/>
      <c r="J978" s="11"/>
    </row>
    <row r="979" spans="1:10" ht="15.75" x14ac:dyDescent="0.3">
      <c r="A979" s="13" t="str">
        <f>HYPERLINK("https://parts-sales.ru/parts/MAN/06710690053","06.71069-0053")</f>
        <v>06.71069-0053</v>
      </c>
      <c r="B979" s="13" t="str">
        <f>HYPERLINK("https://parts-sales.ru/parts/MAN/06710690053","Прямой ввертный штуцер L12A-M-ST-M3360-R")</f>
        <v>Прямой ввертный штуцер L12A-M-ST-M3360-R</v>
      </c>
      <c r="C979" s="5" t="s">
        <v>6</v>
      </c>
      <c r="D979" s="6">
        <v>4474.8</v>
      </c>
      <c r="E979" s="6">
        <v>684</v>
      </c>
      <c r="F979" s="9">
        <v>0.85</v>
      </c>
      <c r="H979" s="11"/>
      <c r="I979" s="11"/>
      <c r="J979" s="11"/>
    </row>
    <row r="980" spans="1:10" ht="15.75" x14ac:dyDescent="0.3">
      <c r="A980" s="12" t="str">
        <f>HYPERLINK("https://parts-sales.ru/parts/MAN/06710690071","06.71069-0071")</f>
        <v>06.71069-0071</v>
      </c>
      <c r="B980" s="12" t="str">
        <f>HYPERLINK("https://parts-sales.ru/parts/MAN/06710690071","Штуцер 6X1-STD4349")</f>
        <v>Штуцер 6X1-STD4349</v>
      </c>
      <c r="C980" s="3" t="s">
        <v>6</v>
      </c>
      <c r="D980" s="4">
        <v>2368.8000000000002</v>
      </c>
      <c r="E980" s="4">
        <v>595</v>
      </c>
      <c r="F980" s="8">
        <v>0.75</v>
      </c>
      <c r="H980" s="11"/>
      <c r="I980" s="11"/>
      <c r="J980" s="11"/>
    </row>
    <row r="981" spans="1:10" ht="15.75" x14ac:dyDescent="0.3">
      <c r="A981" s="13" t="str">
        <f>HYPERLINK("https://parts-sales.ru/parts/MAN/06710690072","06.71069-0072")</f>
        <v>06.71069-0072</v>
      </c>
      <c r="B981" s="13" t="str">
        <f>HYPERLINK("https://parts-sales.ru/parts/MAN/06710690072","Штуцер 8X1-STD4349")</f>
        <v>Штуцер 8X1-STD4349</v>
      </c>
      <c r="C981" s="5" t="s">
        <v>6</v>
      </c>
      <c r="D981" s="6">
        <v>2773.2</v>
      </c>
      <c r="E981" s="6">
        <v>1156</v>
      </c>
      <c r="F981" s="9">
        <v>0.57999999999999996</v>
      </c>
      <c r="H981" s="11"/>
      <c r="I981" s="11"/>
      <c r="J981" s="11"/>
    </row>
    <row r="982" spans="1:10" ht="15.75" x14ac:dyDescent="0.3">
      <c r="A982" s="12" t="str">
        <f>HYPERLINK("https://parts-sales.ru/parts/MAN/06710702109","06.71070-2109")</f>
        <v>06.71070-2109</v>
      </c>
      <c r="B982" s="12" t="str">
        <f>HYPERLINK("https://parts-sales.ru/parts/MAN/06710702109","Прямой соединит. штуцер S-L15-MAN183-B1")</f>
        <v>Прямой соединит. штуцер S-L15-MAN183-B1</v>
      </c>
      <c r="C982" s="3" t="s">
        <v>6</v>
      </c>
      <c r="D982" s="4">
        <v>1274.4000000000001</v>
      </c>
      <c r="E982" s="4">
        <v>79</v>
      </c>
      <c r="F982" s="8">
        <v>0.94</v>
      </c>
      <c r="H982" s="11"/>
      <c r="I982" s="11"/>
      <c r="J982" s="11"/>
    </row>
    <row r="983" spans="1:10" ht="15.75" x14ac:dyDescent="0.3">
      <c r="A983" s="13" t="str">
        <f>HYPERLINK("https://parts-sales.ru/parts/MAN/06710702133","06.71070-2133")</f>
        <v>06.71070-2133</v>
      </c>
      <c r="B983" s="13" t="str">
        <f>HYPERLINK("https://parts-sales.ru/parts/MAN/06710702133","Прямой соединит. штуцер LL16-MAN183-B1")</f>
        <v>Прямой соединит. штуцер LL16-MAN183-B1</v>
      </c>
      <c r="C983" s="5" t="s">
        <v>6</v>
      </c>
      <c r="D983" s="6">
        <v>1543.2</v>
      </c>
      <c r="E983" s="6">
        <v>46</v>
      </c>
      <c r="F983" s="9">
        <v>0.97</v>
      </c>
      <c r="H983" s="11"/>
      <c r="I983" s="11"/>
      <c r="J983" s="11"/>
    </row>
    <row r="984" spans="1:10" ht="15.75" x14ac:dyDescent="0.3">
      <c r="A984" s="12" t="str">
        <f>HYPERLINK("https://parts-sales.ru/parts/MAN/06710702208","06.71070-2208")</f>
        <v>06.71070-2208</v>
      </c>
      <c r="B984" s="12" t="str">
        <f>HYPERLINK("https://parts-sales.ru/parts/MAN/06710702208","Прямой соединит. штуцер S-L12-MAN183-B1")</f>
        <v>Прямой соединит. штуцер S-L12-MAN183-B1</v>
      </c>
      <c r="C984" s="3" t="s">
        <v>6</v>
      </c>
      <c r="D984" s="4">
        <v>508.8</v>
      </c>
      <c r="E984" s="4">
        <v>113</v>
      </c>
      <c r="F984" s="8">
        <v>0.78</v>
      </c>
      <c r="H984" s="11"/>
      <c r="I984" s="11"/>
      <c r="J984" s="11"/>
    </row>
    <row r="985" spans="1:10" ht="15.75" x14ac:dyDescent="0.3">
      <c r="A985" s="13" t="str">
        <f>HYPERLINK("https://parts-sales.ru/parts/MAN/06710708107","06.71070-8107")</f>
        <v>06.71070-8107</v>
      </c>
      <c r="B985" s="13" t="str">
        <f>HYPERLINK("https://parts-sales.ru/parts/MAN/06710708107","Прямой соединит. штуцер L10-A4D")</f>
        <v>Прямой соединит. штуцер L10-A4D</v>
      </c>
      <c r="C985" s="5" t="s">
        <v>6</v>
      </c>
      <c r="D985" s="6">
        <v>1314</v>
      </c>
      <c r="E985" s="6">
        <v>309</v>
      </c>
      <c r="F985" s="9">
        <v>0.76</v>
      </c>
      <c r="H985" s="11"/>
      <c r="I985" s="11"/>
      <c r="J985" s="11"/>
    </row>
    <row r="986" spans="1:10" ht="15.75" x14ac:dyDescent="0.3">
      <c r="A986" s="12" t="str">
        <f>HYPERLINK("https://parts-sales.ru/parts/MAN/06710758138","06.71075-8138")</f>
        <v>06.71075-8138</v>
      </c>
      <c r="B986" s="12" t="str">
        <f>HYPERLINK("https://parts-sales.ru/parts/MAN/06710758138","Прямой соединит. штуцер LL16/12-MAN272")</f>
        <v>Прямой соединит. штуцер LL16/12-MAN272</v>
      </c>
      <c r="C986" s="3" t="s">
        <v>6</v>
      </c>
      <c r="D986" s="4">
        <v>4243.2</v>
      </c>
      <c r="E986" s="4">
        <v>161</v>
      </c>
      <c r="F986" s="8">
        <v>0.96</v>
      </c>
      <c r="H986" s="11"/>
      <c r="I986" s="11"/>
      <c r="J986" s="11"/>
    </row>
    <row r="987" spans="1:10" ht="15.75" x14ac:dyDescent="0.3">
      <c r="A987" s="13" t="str">
        <f>HYPERLINK("https://parts-sales.ru/parts/MAN/06711320255","06.71132-0255")</f>
        <v>06.71132-0255</v>
      </c>
      <c r="B987" s="13" t="str">
        <f>HYPERLINK("https://parts-sales.ru/parts/MAN/06711320255","Т-образный соедин. штуцер")</f>
        <v>Т-образный соедин. штуцер</v>
      </c>
      <c r="C987" s="5" t="s">
        <v>6</v>
      </c>
      <c r="D987" s="6">
        <v>12274.8</v>
      </c>
      <c r="E987" s="6">
        <v>2710</v>
      </c>
      <c r="F987" s="9">
        <v>0.78</v>
      </c>
      <c r="H987" s="11"/>
      <c r="I987" s="11"/>
      <c r="J987" s="11"/>
    </row>
    <row r="988" spans="1:10" ht="15.75" x14ac:dyDescent="0.3">
      <c r="A988" s="12" t="str">
        <f>HYPERLINK("https://parts-sales.ru/parts/MAN/06711502102","06.71150-2102")</f>
        <v>06.71150-2102</v>
      </c>
      <c r="B988" s="12" t="str">
        <f>HYPERLINK("https://parts-sales.ru/parts/MAN/06711502102","Прям. соед. перебор. штуцер BHS-L8-MAN18")</f>
        <v>Прям. соед. перебор. штуцер BHS-L8-MAN18</v>
      </c>
      <c r="C988" s="3" t="s">
        <v>6</v>
      </c>
      <c r="D988" s="4">
        <v>1717.2</v>
      </c>
      <c r="E988" s="4">
        <v>408</v>
      </c>
      <c r="F988" s="8">
        <v>0.76</v>
      </c>
      <c r="H988" s="11"/>
      <c r="I988" s="11"/>
      <c r="J988" s="11"/>
    </row>
    <row r="989" spans="1:10" ht="15.75" x14ac:dyDescent="0.3">
      <c r="A989" s="13" t="str">
        <f>HYPERLINK("https://parts-sales.ru/parts/MAN/06712302104","06.71230-2104")</f>
        <v>06.71230-2104</v>
      </c>
      <c r="B989" s="13" t="str">
        <f>HYPERLINK("https://parts-sales.ru/parts/MAN/06712302104","Угл. соед. настраив. штуцер L12-MAN183-B")</f>
        <v>Угл. соед. настраив. штуцер L12-MAN183-B</v>
      </c>
      <c r="C989" s="5" t="s">
        <v>6</v>
      </c>
      <c r="D989" s="6">
        <v>6042</v>
      </c>
      <c r="E989" s="6">
        <v>2378</v>
      </c>
      <c r="F989" s="9">
        <v>0.61</v>
      </c>
      <c r="H989" s="11"/>
      <c r="I989" s="11"/>
      <c r="J989" s="11"/>
    </row>
    <row r="990" spans="1:10" ht="15.75" x14ac:dyDescent="0.3">
      <c r="A990" s="12" t="str">
        <f>HYPERLINK("https://parts-sales.ru/parts/MAN/06712302105","06.71230-2105")</f>
        <v>06.71230-2105</v>
      </c>
      <c r="B990" s="12" t="str">
        <f>HYPERLINK("https://parts-sales.ru/parts/MAN/06712302105","Угл. соед. настраив. штуцер L15-MAN183-B")</f>
        <v>Угл. соед. настраив. штуцер L15-MAN183-B</v>
      </c>
      <c r="C990" s="3" t="s">
        <v>6</v>
      </c>
      <c r="D990" s="4">
        <v>4435.2</v>
      </c>
      <c r="E990" s="4">
        <v>262</v>
      </c>
      <c r="F990" s="8">
        <v>0.94</v>
      </c>
      <c r="H990" s="11"/>
      <c r="I990" s="11"/>
      <c r="J990" s="11"/>
    </row>
    <row r="991" spans="1:10" ht="15.75" x14ac:dyDescent="0.3">
      <c r="A991" s="13" t="str">
        <f>HYPERLINK("https://parts-sales.ru/parts/MAN/06712308102","06.71230-8102")</f>
        <v>06.71230-8102</v>
      </c>
      <c r="B991" s="13" t="str">
        <f>HYPERLINK("https://parts-sales.ru/parts/MAN/06712308102","Угл. соед. настраив. штуцер L8-A4D")</f>
        <v>Угл. соед. настраив. штуцер L8-A4D</v>
      </c>
      <c r="C991" s="5" t="s">
        <v>6</v>
      </c>
      <c r="D991" s="6">
        <v>2172.6</v>
      </c>
      <c r="E991" s="6">
        <v>907</v>
      </c>
      <c r="F991" s="9">
        <v>0.57999999999999996</v>
      </c>
      <c r="H991" s="11"/>
      <c r="I991" s="11"/>
      <c r="J991" s="11"/>
    </row>
    <row r="992" spans="1:10" ht="15.75" x14ac:dyDescent="0.3">
      <c r="A992" s="12" t="str">
        <f>HYPERLINK("https://parts-sales.ru/parts/MAN/06712506605","06.71250-6605")</f>
        <v>06.71250-6605</v>
      </c>
      <c r="B992" s="12" t="str">
        <f>HYPERLINK("https://parts-sales.ru/parts/MAN/06712506605","Прямой ввертный штуцер LL16-N-M22X1,5-A-")</f>
        <v>Прямой ввертный штуцер LL16-N-M22X1,5-A-</v>
      </c>
      <c r="C992" s="3" t="s">
        <v>6</v>
      </c>
      <c r="D992" s="4">
        <v>1485.6</v>
      </c>
      <c r="E992" s="4">
        <v>23</v>
      </c>
      <c r="F992" s="8">
        <v>0.98</v>
      </c>
      <c r="H992" s="11"/>
      <c r="I992" s="11"/>
      <c r="J992" s="11"/>
    </row>
    <row r="993" spans="1:10" ht="15.75" x14ac:dyDescent="0.3">
      <c r="A993" s="13" t="str">
        <f>HYPERLINK("https://parts-sales.ru/parts/MAN/06712508605","06.71250-8605")</f>
        <v>06.71250-8605</v>
      </c>
      <c r="B993" s="13" t="str">
        <f>HYPERLINK("https://parts-sales.ru/parts/MAN/06712508605","Прямой ввертный штуцер LL16N-M22X1,5-A-A")</f>
        <v>Прямой ввертный штуцер LL16N-M22X1,5-A-A</v>
      </c>
      <c r="C993" s="5" t="s">
        <v>6</v>
      </c>
      <c r="D993" s="6">
        <v>1958.4</v>
      </c>
      <c r="E993" s="6">
        <v>41</v>
      </c>
      <c r="F993" s="9">
        <v>0.98</v>
      </c>
      <c r="H993" s="11"/>
      <c r="I993" s="11"/>
      <c r="J993" s="11"/>
    </row>
    <row r="994" spans="1:10" ht="15.75" x14ac:dyDescent="0.3">
      <c r="A994" s="12" t="str">
        <f>HYPERLINK("https://parts-sales.ru/parts/MAN/06712532504","06.71253-2504")</f>
        <v>06.71253-2504</v>
      </c>
      <c r="B994" s="12" t="str">
        <f>HYPERLINK("https://parts-sales.ru/parts/MAN/06712532504","Прямой ввертный штуцер L12B-M18X1,5-ST-M")</f>
        <v>Прямой ввертный штуцер L12B-M18X1,5-ST-M</v>
      </c>
      <c r="C994" s="3" t="s">
        <v>6</v>
      </c>
      <c r="D994" s="4">
        <v>2046</v>
      </c>
      <c r="E994" s="4">
        <v>590</v>
      </c>
      <c r="F994" s="8">
        <v>0.71</v>
      </c>
      <c r="H994" s="11"/>
      <c r="I994" s="11"/>
      <c r="J994" s="11"/>
    </row>
    <row r="995" spans="1:10" ht="15.75" x14ac:dyDescent="0.3">
      <c r="A995" s="13" t="str">
        <f>HYPERLINK("https://parts-sales.ru/parts/MAN/06712590008","06.71259-0008")</f>
        <v>06.71259-0008</v>
      </c>
      <c r="B995" s="13" t="str">
        <f>HYPERLINK("https://parts-sales.ru/parts/MAN/06712590008","Прямой ввертный штуцер L12A-M14X1,5-ST-M")</f>
        <v>Прямой ввертный штуцер L12A-M14X1,5-ST-M</v>
      </c>
      <c r="C995" s="5" t="s">
        <v>6</v>
      </c>
      <c r="D995" s="6">
        <v>1717.2</v>
      </c>
      <c r="E995" s="6">
        <v>294</v>
      </c>
      <c r="F995" s="9">
        <v>0.83</v>
      </c>
      <c r="H995" s="11"/>
      <c r="I995" s="11"/>
      <c r="J995" s="11"/>
    </row>
    <row r="996" spans="1:10" ht="15.75" x14ac:dyDescent="0.3">
      <c r="A996" s="12" t="str">
        <f>HYPERLINK("https://parts-sales.ru/parts/MAN/06712604404","06.71260-4404")</f>
        <v>06.71260-4404</v>
      </c>
      <c r="B996" s="12" t="str">
        <f>HYPERLINK("https://parts-sales.ru/parts/MAN/06712604404","Прям. вверт. перебор. штуцер L12-M16X1,5")</f>
        <v>Прям. вверт. перебор. штуцер L12-M16X1,5</v>
      </c>
      <c r="C996" s="3" t="s">
        <v>6</v>
      </c>
      <c r="D996" s="4">
        <v>2941.2</v>
      </c>
      <c r="E996" s="4">
        <v>803</v>
      </c>
      <c r="F996" s="8">
        <v>0.73</v>
      </c>
      <c r="H996" s="11"/>
      <c r="I996" s="11"/>
      <c r="J996" s="11"/>
    </row>
    <row r="997" spans="1:10" ht="15.75" x14ac:dyDescent="0.3">
      <c r="A997" s="13" t="str">
        <f>HYPERLINK("https://parts-sales.ru/parts/MAN/06712702102","06.71270-2102")</f>
        <v>06.71270-2102</v>
      </c>
      <c r="B997" s="13" t="str">
        <f>HYPERLINK("https://parts-sales.ru/parts/MAN/06712702102","L-образн. настр. соед. штуцер L8-MAN183-")</f>
        <v>L-образн. настр. соед. штуцер L8-MAN183-</v>
      </c>
      <c r="C997" s="5" t="s">
        <v>6</v>
      </c>
      <c r="D997" s="6">
        <v>3886.8</v>
      </c>
      <c r="E997" s="6">
        <v>916</v>
      </c>
      <c r="F997" s="9">
        <v>0.76</v>
      </c>
      <c r="H997" s="11"/>
      <c r="I997" s="11"/>
      <c r="J997" s="11"/>
    </row>
    <row r="998" spans="1:10" ht="15.75" x14ac:dyDescent="0.3">
      <c r="A998" s="12" t="str">
        <f>HYPERLINK("https://parts-sales.ru/parts/MAN/06712702105","06.71270-2105")</f>
        <v>06.71270-2105</v>
      </c>
      <c r="B998" s="12" t="str">
        <f>HYPERLINK("https://parts-sales.ru/parts/MAN/06712702105","L-образн. настр. соед. штуцер L15-MAN183")</f>
        <v>L-образн. настр. соед. штуцер L15-MAN183</v>
      </c>
      <c r="C998" s="3" t="s">
        <v>6</v>
      </c>
      <c r="D998" s="4">
        <v>7732.8</v>
      </c>
      <c r="E998" s="4">
        <v>1298</v>
      </c>
      <c r="F998" s="8">
        <v>0.83</v>
      </c>
      <c r="H998" s="11"/>
      <c r="I998" s="11"/>
      <c r="J998" s="11"/>
    </row>
    <row r="999" spans="1:10" ht="15.75" x14ac:dyDescent="0.3">
      <c r="A999" s="13" t="str">
        <f>HYPERLINK("https://parts-sales.ru/parts/MAN/06712902105","06.71290-2105")</f>
        <v>06.71290-2105</v>
      </c>
      <c r="B999" s="13" t="str">
        <f>HYPERLINK("https://parts-sales.ru/parts/MAN/06712902105","Т-образн. соед. настр. штуцер L15-MAN183")</f>
        <v>Т-образн. соед. настр. штуцер L15-MAN183</v>
      </c>
      <c r="C999" s="5" t="s">
        <v>6</v>
      </c>
      <c r="D999" s="6">
        <v>7470</v>
      </c>
      <c r="E999" s="6">
        <v>1491</v>
      </c>
      <c r="F999" s="9">
        <v>0.8</v>
      </c>
      <c r="H999" s="11"/>
      <c r="I999" s="11"/>
      <c r="J999" s="11"/>
    </row>
    <row r="1000" spans="1:10" ht="15.75" x14ac:dyDescent="0.3">
      <c r="A1000" s="12" t="str">
        <f>HYPERLINK("https://parts-sales.ru/parts/MAN/06717514511","06.71751-4511")</f>
        <v>06.71751-4511</v>
      </c>
      <c r="B1000" s="12" t="str">
        <f>HYPERLINK("https://parts-sales.ru/parts/MAN/06717514511","Миништуцер LL16-M22X1,5-ST-MAN183-B1")</f>
        <v>Миништуцер LL16-M22X1,5-ST-MAN183-B1</v>
      </c>
      <c r="C1000" s="3" t="s">
        <v>6</v>
      </c>
      <c r="D1000" s="4">
        <v>4053.6</v>
      </c>
      <c r="E1000" s="4">
        <v>75</v>
      </c>
      <c r="F1000" s="8">
        <v>0.98</v>
      </c>
      <c r="H1000" s="11"/>
      <c r="I1000" s="11"/>
      <c r="J1000" s="11"/>
    </row>
    <row r="1001" spans="1:10" ht="15.75" x14ac:dyDescent="0.3">
      <c r="A1001" s="13" t="str">
        <f>HYPERLINK("https://parts-sales.ru/parts/MAN/06717540255","06.71754-0255")</f>
        <v>06.71754-0255</v>
      </c>
      <c r="B1001" s="13" t="str">
        <f>HYPERLINK("https://parts-sales.ru/parts/MAN/06717540255","Миништуцер L8M14X1,5-ST-A-MAN272")</f>
        <v>Миништуцер L8M14X1,5-ST-A-MAN272</v>
      </c>
      <c r="C1001" s="5" t="s">
        <v>6</v>
      </c>
      <c r="D1001" s="6">
        <v>3721.2</v>
      </c>
      <c r="E1001" s="6">
        <v>917</v>
      </c>
      <c r="F1001" s="9">
        <v>0.75</v>
      </c>
      <c r="H1001" s="11"/>
      <c r="I1001" s="11"/>
      <c r="J1001" s="11"/>
    </row>
    <row r="1002" spans="1:10" ht="15.75" x14ac:dyDescent="0.3">
      <c r="A1002" s="12" t="str">
        <f>HYPERLINK("https://parts-sales.ru/parts/MAN/06717590027","06.71759-0027")</f>
        <v>06.71759-0027</v>
      </c>
      <c r="B1002" s="12" t="str">
        <f>HYPERLINK("https://parts-sales.ru/parts/MAN/06717590027","Миништуцер L12-M16X1,5-C35-A-MAN272-VORM")</f>
        <v>Миништуцер L12-M16X1,5-C35-A-MAN272-VORM</v>
      </c>
      <c r="C1002" s="3" t="s">
        <v>6</v>
      </c>
      <c r="D1002" s="4">
        <v>3927.6</v>
      </c>
      <c r="E1002" s="4">
        <v>233</v>
      </c>
      <c r="F1002" s="8">
        <v>0.94</v>
      </c>
      <c r="H1002" s="11"/>
      <c r="I1002" s="11"/>
      <c r="J1002" s="11"/>
    </row>
    <row r="1003" spans="1:10" ht="15.75" x14ac:dyDescent="0.3">
      <c r="A1003" s="13" t="str">
        <f>HYPERLINK("https://parts-sales.ru/parts/MAN/06717648507","06.71764-8507")</f>
        <v>06.71764-8507</v>
      </c>
      <c r="B1003" s="13" t="str">
        <f>HYPERLINK("https://parts-sales.ru/parts/MAN/06717648507","Тройник L12/6-M16X1,5-ST-A-MAN272")</f>
        <v>Тройник L12/6-M16X1,5-ST-A-MAN272</v>
      </c>
      <c r="C1003" s="5" t="s">
        <v>6</v>
      </c>
      <c r="D1003" s="6">
        <v>6573.6</v>
      </c>
      <c r="E1003" s="6">
        <v>1381</v>
      </c>
      <c r="F1003" s="9">
        <v>0.79</v>
      </c>
      <c r="H1003" s="11"/>
      <c r="I1003" s="11"/>
      <c r="J1003" s="11"/>
    </row>
    <row r="1004" spans="1:10" ht="15.75" x14ac:dyDescent="0.3">
      <c r="A1004" s="12" t="str">
        <f>HYPERLINK("https://parts-sales.ru/parts/MAN/06718120609","06.71812-0609")</f>
        <v>06.71812-0609</v>
      </c>
      <c r="B1004" s="12" t="str">
        <f>HYPERLINK("https://parts-sales.ru/parts/MAN/06718120609","Т-образн. вверточный разъем 9,5 M12X1,5")</f>
        <v>Т-образн. вверточный разъем 9,5 M12X1,5</v>
      </c>
      <c r="C1004" s="3" t="s">
        <v>6</v>
      </c>
      <c r="D1004" s="4">
        <v>6106.8</v>
      </c>
      <c r="E1004" s="4">
        <v>1298</v>
      </c>
      <c r="F1004" s="8">
        <v>0.79</v>
      </c>
      <c r="H1004" s="11"/>
      <c r="I1004" s="11"/>
      <c r="J1004" s="11"/>
    </row>
    <row r="1005" spans="1:10" ht="15.75" x14ac:dyDescent="0.3">
      <c r="A1005" s="13" t="str">
        <f>HYPERLINK("https://parts-sales.ru/parts/MAN/06782002629","06.78200-2629")</f>
        <v>06.78200-2629</v>
      </c>
      <c r="B1005" s="13" t="str">
        <f>HYPERLINK("https://parts-sales.ru/parts/MAN/06782002629","Забивной ниппель BR12/9-MAN183-B1")</f>
        <v>Забивной ниппель BR12/9-MAN183-B1</v>
      </c>
      <c r="C1005" s="5" t="s">
        <v>6</v>
      </c>
      <c r="D1005" s="6">
        <v>2654.4</v>
      </c>
      <c r="E1005" s="6">
        <v>511</v>
      </c>
      <c r="F1005" s="9">
        <v>0.81</v>
      </c>
      <c r="H1005" s="11"/>
      <c r="I1005" s="11"/>
      <c r="J1005" s="11"/>
    </row>
    <row r="1006" spans="1:10" ht="15.75" x14ac:dyDescent="0.3">
      <c r="A1006" s="12" t="str">
        <f>HYPERLINK("https://parts-sales.ru/parts/MAN/06782004629","06.78200-4629")</f>
        <v>06.78200-4629</v>
      </c>
      <c r="B1006" s="12" t="str">
        <f>HYPERLINK("https://parts-sales.ru/parts/MAN/06782004629","Забивной ниппель BR12/9-A4D")</f>
        <v>Забивной ниппель BR12/9-A4D</v>
      </c>
      <c r="C1006" s="3" t="s">
        <v>6</v>
      </c>
      <c r="D1006" s="4">
        <v>1656</v>
      </c>
      <c r="E1006" s="4">
        <v>591</v>
      </c>
      <c r="F1006" s="8">
        <v>0.64</v>
      </c>
      <c r="H1006" s="11"/>
      <c r="I1006" s="11"/>
      <c r="J1006" s="11"/>
    </row>
    <row r="1007" spans="1:10" ht="15.75" x14ac:dyDescent="0.3">
      <c r="A1007" s="13" t="str">
        <f>HYPERLINK("https://parts-sales.ru/parts/MAN/06782090005","06.78209-0005")</f>
        <v>06.78209-0005</v>
      </c>
      <c r="B1007" s="13" t="str">
        <f>HYPERLINK("https://parts-sales.ru/parts/MAN/06782090005","Забивной ниппель B4-M3360-RK3-K")</f>
        <v>Забивной ниппель B4-M3360-RK3-K</v>
      </c>
      <c r="C1007" s="5" t="s">
        <v>6</v>
      </c>
      <c r="D1007" s="6">
        <v>1125.5999999999999</v>
      </c>
      <c r="E1007" s="6">
        <v>63</v>
      </c>
      <c r="F1007" s="9">
        <v>0.94</v>
      </c>
      <c r="H1007" s="11"/>
      <c r="I1007" s="11"/>
      <c r="J1007" s="11"/>
    </row>
    <row r="1008" spans="1:10" ht="15.75" x14ac:dyDescent="0.3">
      <c r="A1008" s="12" t="str">
        <f>HYPERLINK("https://parts-sales.ru/parts/MAN/06783404107","06.78340-4107")</f>
        <v>06.78340-4107</v>
      </c>
      <c r="B1008" s="12" t="str">
        <f>HYPERLINK("https://parts-sales.ru/parts/MAN/06783404107","Полый винт M16X1,5X28-MAN183-B1")</f>
        <v>Полый винт M16X1,5X28-MAN183-B1</v>
      </c>
      <c r="C1008" s="3" t="s">
        <v>6</v>
      </c>
      <c r="D1008" s="4">
        <v>1166.4000000000001</v>
      </c>
      <c r="E1008" s="4">
        <v>269</v>
      </c>
      <c r="F1008" s="8">
        <v>0.77</v>
      </c>
      <c r="H1008" s="11"/>
      <c r="I1008" s="11"/>
      <c r="J1008" s="11"/>
    </row>
    <row r="1009" spans="1:10" ht="15.75" x14ac:dyDescent="0.3">
      <c r="A1009" s="13" t="str">
        <f>HYPERLINK("https://parts-sales.ru/parts/MAN/06783404108","06.78340-4108")</f>
        <v>06.78340-4108</v>
      </c>
      <c r="B1009" s="13" t="str">
        <f>HYPERLINK("https://parts-sales.ru/parts/MAN/06783404108","Полый винт M18X1,5X32-MAN183-B1")</f>
        <v>Полый винт M18X1,5X32-MAN183-B1</v>
      </c>
      <c r="C1009" s="5" t="s">
        <v>6</v>
      </c>
      <c r="D1009" s="6">
        <v>909.6</v>
      </c>
      <c r="E1009" s="6">
        <v>172</v>
      </c>
      <c r="F1009" s="9">
        <v>0.81</v>
      </c>
      <c r="H1009" s="11"/>
      <c r="I1009" s="11"/>
      <c r="J1009" s="11"/>
    </row>
    <row r="1010" spans="1:10" ht="15.75" x14ac:dyDescent="0.3">
      <c r="A1010" s="12" t="str">
        <f>HYPERLINK("https://parts-sales.ru/parts/MAN/06783404110","06.78340-4110")</f>
        <v>06.78340-4110</v>
      </c>
      <c r="B1010" s="12" t="str">
        <f>HYPERLINK("https://parts-sales.ru/parts/MAN/06783404110","Полый винт M26X1,5X45-MAN183-B1")</f>
        <v>Полый винт M26X1,5X45-MAN183-B1</v>
      </c>
      <c r="C1010" s="3" t="s">
        <v>6</v>
      </c>
      <c r="D1010" s="4">
        <v>3555.6</v>
      </c>
      <c r="E1010" s="4">
        <v>150</v>
      </c>
      <c r="F1010" s="8">
        <v>0.96</v>
      </c>
      <c r="H1010" s="11"/>
      <c r="I1010" s="11"/>
      <c r="J1010" s="11"/>
    </row>
    <row r="1011" spans="1:10" ht="15.75" x14ac:dyDescent="0.3">
      <c r="A1011" s="13" t="str">
        <f>HYPERLINK("https://parts-sales.ru/parts/MAN/06783490006","06.78349-0006")</f>
        <v>06.78349-0006</v>
      </c>
      <c r="B1011" s="13" t="str">
        <f>HYPERLINK("https://parts-sales.ru/parts/MAN/06783490006","Полый винт 4-5-M3360-RK3-K")</f>
        <v>Полый винт 4-5-M3360-RK3-K</v>
      </c>
      <c r="C1011" s="5" t="s">
        <v>6</v>
      </c>
      <c r="D1011" s="6">
        <v>675.6</v>
      </c>
      <c r="E1011" s="6">
        <v>133</v>
      </c>
      <c r="F1011" s="9">
        <v>0.8</v>
      </c>
      <c r="H1011" s="11"/>
      <c r="I1011" s="11"/>
      <c r="J1011" s="11"/>
    </row>
    <row r="1012" spans="1:10" ht="15.75" x14ac:dyDescent="0.3">
      <c r="A1012" s="12" t="str">
        <f>HYPERLINK("https://parts-sales.ru/parts/MAN/06790800201","06.79080-0201")</f>
        <v>06.79080-0201</v>
      </c>
      <c r="B1012" s="12" t="str">
        <f>HYPERLINK("https://parts-sales.ru/parts/MAN/06790800201","Соединительный штуцер шланга B13-M22X1,5")</f>
        <v>Соединительный штуцер шланга B13-M22X1,5</v>
      </c>
      <c r="C1012" s="3" t="s">
        <v>6</v>
      </c>
      <c r="D1012" s="4">
        <v>1698</v>
      </c>
      <c r="E1012" s="4">
        <v>423</v>
      </c>
      <c r="F1012" s="8">
        <v>0.75</v>
      </c>
      <c r="H1012" s="11"/>
      <c r="I1012" s="11"/>
      <c r="J1012" s="11"/>
    </row>
    <row r="1013" spans="1:10" ht="15.75" x14ac:dyDescent="0.3">
      <c r="A1013" s="13" t="str">
        <f>HYPERLINK("https://parts-sales.ru/parts/MAN/07041930700","07.04193-0700")</f>
        <v>07.04193-0700</v>
      </c>
      <c r="B1013" s="13" t="str">
        <f>HYPERLINK("https://parts-sales.ru/parts/MAN/07041930700","Электропроводка H07RN-F3GX1,5-SW")</f>
        <v>Электропроводка H07RN-F3GX1,5-SW</v>
      </c>
      <c r="C1013" s="5" t="s">
        <v>8</v>
      </c>
      <c r="D1013" s="6">
        <v>2854.8</v>
      </c>
      <c r="E1013" s="6">
        <v>298</v>
      </c>
      <c r="F1013" s="9">
        <v>0.9</v>
      </c>
      <c r="H1013" s="11"/>
      <c r="I1013" s="11"/>
      <c r="J1013" s="11"/>
    </row>
    <row r="1014" spans="1:10" ht="15.75" x14ac:dyDescent="0.3">
      <c r="A1014" s="12" t="str">
        <f>HYPERLINK("https://parts-sales.ru/parts/MAN/07081310107","07.08131-0107")</f>
        <v>07.08131-0107</v>
      </c>
      <c r="B1014" s="12" t="str">
        <f>HYPERLINK("https://parts-sales.ru/parts/MAN/07081310107","Электропроводка FLRY0,50-A-WS")</f>
        <v>Электропроводка FLRY0,50-A-WS</v>
      </c>
      <c r="C1014" s="3" t="s">
        <v>8</v>
      </c>
      <c r="D1014" s="4">
        <v>675.6</v>
      </c>
      <c r="E1014" s="4">
        <v>148</v>
      </c>
      <c r="F1014" s="8">
        <v>0.78</v>
      </c>
      <c r="H1014" s="11"/>
      <c r="I1014" s="11"/>
      <c r="J1014" s="11"/>
    </row>
    <row r="1015" spans="1:10" ht="15.75" x14ac:dyDescent="0.3">
      <c r="A1015" s="13" t="str">
        <f>HYPERLINK("https://parts-sales.ru/parts/MAN/07081310108","07.08131-0108")</f>
        <v>07.08131-0108</v>
      </c>
      <c r="B1015" s="13" t="str">
        <f>HYPERLINK("https://parts-sales.ru/parts/MAN/07081310108","Электропроводка FLRY0,50-A-BR")</f>
        <v>Электропроводка FLRY0,50-A-BR</v>
      </c>
      <c r="C1015" s="5" t="s">
        <v>8</v>
      </c>
      <c r="D1015" s="6">
        <v>675.6</v>
      </c>
      <c r="E1015" s="6">
        <v>138</v>
      </c>
      <c r="F1015" s="9">
        <v>0.8</v>
      </c>
      <c r="H1015" s="11"/>
      <c r="I1015" s="11"/>
      <c r="J1015" s="11"/>
    </row>
    <row r="1016" spans="1:10" ht="15.75" x14ac:dyDescent="0.3">
      <c r="A1016" s="12" t="str">
        <f>HYPERLINK("https://parts-sales.ru/parts/MAN/07081310301","07.08131-0301")</f>
        <v>07.08131-0301</v>
      </c>
      <c r="B1016" s="12" t="str">
        <f>HYPERLINK("https://parts-sales.ru/parts/MAN/07081310301","Электропроводка FLRY0,75-A-RT")</f>
        <v>Электропроводка FLRY0,75-A-RT</v>
      </c>
      <c r="C1016" s="3" t="s">
        <v>8</v>
      </c>
      <c r="D1016" s="4">
        <v>628.79999999999995</v>
      </c>
      <c r="E1016" s="4">
        <v>111</v>
      </c>
      <c r="F1016" s="8">
        <v>0.82</v>
      </c>
      <c r="H1016" s="11"/>
      <c r="I1016" s="11"/>
      <c r="J1016" s="11"/>
    </row>
    <row r="1017" spans="1:10" ht="15.75" x14ac:dyDescent="0.3">
      <c r="A1017" s="13" t="str">
        <f>HYPERLINK("https://parts-sales.ru/parts/MAN/07081310508","07.08131-0508")</f>
        <v>07.08131-0508</v>
      </c>
      <c r="B1017" s="13" t="str">
        <f>HYPERLINK("https://parts-sales.ru/parts/MAN/07081310508","Электропроводка FLRY1-A-BR")</f>
        <v>Электропроводка FLRY1-A-BR</v>
      </c>
      <c r="C1017" s="5" t="s">
        <v>8</v>
      </c>
      <c r="D1017" s="6">
        <v>543.6</v>
      </c>
      <c r="E1017" s="6">
        <v>174</v>
      </c>
      <c r="F1017" s="9">
        <v>0.68</v>
      </c>
      <c r="H1017" s="11"/>
      <c r="I1017" s="11"/>
      <c r="J1017" s="11"/>
    </row>
    <row r="1018" spans="1:10" ht="15.75" x14ac:dyDescent="0.3">
      <c r="A1018" s="12" t="str">
        <f>HYPERLINK("https://parts-sales.ru/parts/MAN/07081310707","07.08131-0707")</f>
        <v>07.08131-0707</v>
      </c>
      <c r="B1018" s="12" t="str">
        <f>HYPERLINK("https://parts-sales.ru/parts/MAN/07081310707","Электропроводка FLRY1,5-A-WS")</f>
        <v>Электропроводка FLRY1,5-A-WS</v>
      </c>
      <c r="C1018" s="3" t="s">
        <v>8</v>
      </c>
      <c r="D1018" s="4">
        <v>631.20000000000005</v>
      </c>
      <c r="E1018" s="4">
        <v>164</v>
      </c>
      <c r="F1018" s="8">
        <v>0.74</v>
      </c>
      <c r="H1018" s="11"/>
      <c r="I1018" s="11"/>
      <c r="J1018" s="11"/>
    </row>
    <row r="1019" spans="1:10" ht="15.75" x14ac:dyDescent="0.3">
      <c r="A1019" s="13" t="str">
        <f>HYPERLINK("https://parts-sales.ru/parts/MAN/07081310708","07.08131-0708")</f>
        <v>07.08131-0708</v>
      </c>
      <c r="B1019" s="13" t="str">
        <f>HYPERLINK("https://parts-sales.ru/parts/MAN/07081310708","Электропроводка FLRY1,5-A-BR")</f>
        <v>Электропроводка FLRY1,5-A-BR</v>
      </c>
      <c r="C1019" s="5" t="s">
        <v>8</v>
      </c>
      <c r="D1019" s="6">
        <v>583.20000000000005</v>
      </c>
      <c r="E1019" s="6">
        <v>195</v>
      </c>
      <c r="F1019" s="9">
        <v>0.67</v>
      </c>
      <c r="H1019" s="11"/>
      <c r="I1019" s="11"/>
      <c r="J1019" s="11"/>
    </row>
    <row r="1020" spans="1:10" ht="15.75" x14ac:dyDescent="0.3">
      <c r="A1020" s="12" t="str">
        <f>HYPERLINK("https://parts-sales.ru/parts/MAN/07081311007","07.08131-1007")</f>
        <v>07.08131-1007</v>
      </c>
      <c r="B1020" s="12" t="str">
        <f>HYPERLINK("https://parts-sales.ru/parts/MAN/07081311007","Электропроводка FLRY4-B-WS")</f>
        <v>Электропроводка FLRY4-B-WS</v>
      </c>
      <c r="C1020" s="3" t="s">
        <v>8</v>
      </c>
      <c r="D1020" s="4">
        <v>740.4</v>
      </c>
      <c r="E1020" s="4">
        <v>153</v>
      </c>
      <c r="F1020" s="8">
        <v>0.79</v>
      </c>
      <c r="H1020" s="11"/>
      <c r="I1020" s="11"/>
      <c r="J1020" s="11"/>
    </row>
    <row r="1021" spans="1:10" ht="15.75" x14ac:dyDescent="0.3">
      <c r="A1021" s="13" t="str">
        <f>HYPERLINK("https://parts-sales.ru/parts/MAN/07081311107","07.08131-1107")</f>
        <v>07.08131-1107</v>
      </c>
      <c r="B1021" s="13" t="str">
        <f>HYPERLINK("https://parts-sales.ru/parts/MAN/07081311107","Электропроводка FLRY6-B-WS")</f>
        <v>Электропроводка FLRY6-B-WS</v>
      </c>
      <c r="C1021" s="5" t="s">
        <v>8</v>
      </c>
      <c r="D1021" s="6">
        <v>1068</v>
      </c>
      <c r="E1021" s="6">
        <v>409</v>
      </c>
      <c r="F1021" s="9">
        <v>0.62</v>
      </c>
      <c r="H1021" s="11"/>
      <c r="I1021" s="11"/>
      <c r="J1021" s="11"/>
    </row>
    <row r="1022" spans="1:10" ht="15.75" x14ac:dyDescent="0.3">
      <c r="A1022" s="12" t="str">
        <f>HYPERLINK("https://parts-sales.ru/parts/MAN/07081311108","07.08131-1108")</f>
        <v>07.08131-1108</v>
      </c>
      <c r="B1022" s="12" t="str">
        <f>HYPERLINK("https://parts-sales.ru/parts/MAN/07081311108","Электропроводка FLRY6-B-BR")</f>
        <v>Электропроводка FLRY6-B-BR</v>
      </c>
      <c r="C1022" s="3" t="s">
        <v>8</v>
      </c>
      <c r="D1022" s="4">
        <v>1068</v>
      </c>
      <c r="E1022" s="4">
        <v>347</v>
      </c>
      <c r="F1022" s="8">
        <v>0.68</v>
      </c>
      <c r="H1022" s="11"/>
      <c r="I1022" s="11"/>
      <c r="J1022" s="11"/>
    </row>
    <row r="1023" spans="1:10" ht="15.75" x14ac:dyDescent="0.3">
      <c r="A1023" s="13" t="str">
        <f>HYPERLINK("https://parts-sales.ru/parts/MAN/07081311208","07.08131-1208")</f>
        <v>07.08131-1208</v>
      </c>
      <c r="B1023" s="13" t="str">
        <f>HYPERLINK("https://parts-sales.ru/parts/MAN/07081311208","Электропроводка FLRY10-B-BR")</f>
        <v>Электропроводка FLRY10-B-BR</v>
      </c>
      <c r="C1023" s="5" t="s">
        <v>8</v>
      </c>
      <c r="D1023" s="6">
        <v>1664.4</v>
      </c>
      <c r="E1023" s="6">
        <v>283</v>
      </c>
      <c r="F1023" s="9">
        <v>0.83</v>
      </c>
      <c r="H1023" s="11"/>
      <c r="I1023" s="11"/>
      <c r="J1023" s="11"/>
    </row>
    <row r="1024" spans="1:10" ht="15.75" x14ac:dyDescent="0.3">
      <c r="A1024" s="12" t="str">
        <f>HYPERLINK("https://parts-sales.ru/parts/MAN/07081311307","07.08131-1307")</f>
        <v>07.08131-1307</v>
      </c>
      <c r="B1024" s="12" t="str">
        <f>HYPERLINK("https://parts-sales.ru/parts/MAN/07081311307","Электропроводка FLRY16-B-WS")</f>
        <v>Электропроводка FLRY16-B-WS</v>
      </c>
      <c r="C1024" s="3" t="s">
        <v>8</v>
      </c>
      <c r="D1024" s="4">
        <v>2898</v>
      </c>
      <c r="E1024" s="4">
        <v>104</v>
      </c>
      <c r="F1024" s="8">
        <v>0.96</v>
      </c>
      <c r="H1024" s="11"/>
      <c r="I1024" s="11"/>
      <c r="J1024" s="11"/>
    </row>
    <row r="1025" spans="1:10" ht="15.75" x14ac:dyDescent="0.3">
      <c r="A1025" s="13" t="str">
        <f>HYPERLINK("https://parts-sales.ru/parts/MAN/07081316207","07.08131-6207")</f>
        <v>07.08131-6207</v>
      </c>
      <c r="B1025" s="13" t="str">
        <f>HYPERLINK("https://parts-sales.ru/parts/MAN/07081316207","Электропроводка FLRY0,35-B-WS")</f>
        <v>Электропроводка FLRY0,35-B-WS</v>
      </c>
      <c r="C1025" s="5" t="s">
        <v>8</v>
      </c>
      <c r="D1025" s="6">
        <v>414</v>
      </c>
      <c r="E1025" s="6">
        <v>86</v>
      </c>
      <c r="F1025" s="9">
        <v>0.79</v>
      </c>
      <c r="H1025" s="11"/>
      <c r="I1025" s="11"/>
      <c r="J1025" s="11"/>
    </row>
    <row r="1026" spans="1:10" ht="15.75" x14ac:dyDescent="0.3">
      <c r="A1026" s="12" t="str">
        <f>HYPERLINK("https://parts-sales.ru/parts/MAN/07081316208","07.08131-6208")</f>
        <v>07.08131-6208</v>
      </c>
      <c r="B1026" s="12" t="str">
        <f>HYPERLINK("https://parts-sales.ru/parts/MAN/07081316208","Электропроводка FLRY0,35-B-BR")</f>
        <v>Электропроводка FLRY0,35-B-BR</v>
      </c>
      <c r="C1026" s="3" t="s">
        <v>8</v>
      </c>
      <c r="D1026" s="4">
        <v>420</v>
      </c>
      <c r="E1026" s="4">
        <v>88</v>
      </c>
      <c r="F1026" s="8">
        <v>0.79</v>
      </c>
      <c r="H1026" s="11"/>
      <c r="I1026" s="11"/>
      <c r="J1026" s="11"/>
    </row>
    <row r="1027" spans="1:10" ht="15.75" x14ac:dyDescent="0.3">
      <c r="A1027" s="13" t="str">
        <f>HYPERLINK("https://parts-sales.ru/parts/MAN/07081320537","07.08132-0537")</f>
        <v>07.08132-0537</v>
      </c>
      <c r="B1027" s="13" t="str">
        <f>HYPERLINK("https://parts-sales.ru/parts/MAN/07081320537","Электропроводка FLRY2X1-B-28-BLGE/GEBL")</f>
        <v>Электропроводка FLRY2X1-B-28-BLGE/GEBL</v>
      </c>
      <c r="C1027" s="5" t="s">
        <v>8</v>
      </c>
      <c r="D1027" s="6">
        <v>1696.8</v>
      </c>
      <c r="E1027" s="6">
        <v>288</v>
      </c>
      <c r="F1027" s="9">
        <v>0.83</v>
      </c>
      <c r="H1027" s="11"/>
      <c r="I1027" s="11"/>
      <c r="J1027" s="11"/>
    </row>
    <row r="1028" spans="1:10" ht="15.75" x14ac:dyDescent="0.3">
      <c r="A1028" s="12" t="str">
        <f>HYPERLINK("https://parts-sales.ru/parts/MAN/07081320555","07.08132-0555")</f>
        <v>07.08132-0555</v>
      </c>
      <c r="B1028" s="12" t="str">
        <f>HYPERLINK("https://parts-sales.ru/parts/MAN/07081320555","Электропроводка FLRY2X1-B-28-GN/WSGN")</f>
        <v>Электропроводка FLRY2X1-B-28-GN/WSGN</v>
      </c>
      <c r="C1028" s="3" t="s">
        <v>8</v>
      </c>
      <c r="D1028" s="4">
        <v>1047.5999999999999</v>
      </c>
      <c r="E1028" s="4">
        <v>192</v>
      </c>
      <c r="F1028" s="8">
        <v>0.82</v>
      </c>
      <c r="H1028" s="11"/>
      <c r="I1028" s="11"/>
      <c r="J1028" s="11"/>
    </row>
    <row r="1029" spans="1:10" ht="15.75" x14ac:dyDescent="0.3">
      <c r="A1029" s="13" t="str">
        <f>HYPERLINK("https://parts-sales.ru/parts/MAN/07081324384","07.08132-4384")</f>
        <v>07.08132-4384</v>
      </c>
      <c r="B1029" s="13" t="str">
        <f>HYPERLINK("https://parts-sales.ru/parts/MAN/07081324384","Электропроводка FLRY2X0,75-B-28-OR/BROR")</f>
        <v>Электропроводка FLRY2X0,75-B-28-OR/BROR</v>
      </c>
      <c r="C1029" s="5" t="s">
        <v>8</v>
      </c>
      <c r="D1029" s="6">
        <v>751.2</v>
      </c>
      <c r="E1029" s="6">
        <v>200</v>
      </c>
      <c r="F1029" s="9">
        <v>0.73</v>
      </c>
      <c r="H1029" s="11"/>
      <c r="I1029" s="11"/>
      <c r="J1029" s="11"/>
    </row>
    <row r="1030" spans="1:10" ht="15.75" x14ac:dyDescent="0.3">
      <c r="A1030" s="12" t="str">
        <f>HYPERLINK("https://parts-sales.ru/parts/MAN/07081344348","07.08134-4348")</f>
        <v>07.08134-4348</v>
      </c>
      <c r="B1030" s="12" t="str">
        <f>HYPERLINK("https://parts-sales.ru/parts/MAN/07081344348","Электропроводка FLRY4X0,75-B-40*GR-GRBR/")</f>
        <v>Электропроводка FLRY4X0,75-B-40*GR-GRBR/</v>
      </c>
      <c r="C1030" s="3" t="s">
        <v>8</v>
      </c>
      <c r="D1030" s="4">
        <v>1196.4000000000001</v>
      </c>
      <c r="E1030" s="4">
        <v>188</v>
      </c>
      <c r="F1030" s="8">
        <v>0.84</v>
      </c>
      <c r="H1030" s="11"/>
      <c r="I1030" s="11"/>
      <c r="J1030" s="11"/>
    </row>
    <row r="1031" spans="1:10" ht="15.75" x14ac:dyDescent="0.3">
      <c r="A1031" s="13" t="str">
        <f>HYPERLINK("https://parts-sales.ru/parts/MAN/07081810385","07.08181-0385")</f>
        <v>07.08181-0385</v>
      </c>
      <c r="B1031" s="13" t="str">
        <f>HYPERLINK("https://parts-sales.ru/parts/MAN/07081810385","Электропроводка FLRYW0,75-BROR")</f>
        <v>Электропроводка FLRYW0,75-BROR</v>
      </c>
      <c r="C1031" s="5" t="s">
        <v>8</v>
      </c>
      <c r="D1031" s="6">
        <v>368.4</v>
      </c>
      <c r="E1031" s="6">
        <v>65</v>
      </c>
      <c r="F1031" s="9">
        <v>0.82</v>
      </c>
      <c r="H1031" s="11"/>
      <c r="I1031" s="11"/>
      <c r="J1031" s="11"/>
    </row>
    <row r="1032" spans="1:10" ht="15.75" x14ac:dyDescent="0.3">
      <c r="A1032" s="12" t="str">
        <f>HYPERLINK("https://parts-sales.ru/parts/MAN/07081810506","07.08181-0506")</f>
        <v>07.08181-0506</v>
      </c>
      <c r="B1032" s="12" t="str">
        <f>HYPERLINK("https://parts-sales.ru/parts/MAN/07081810506","Электропроводка FLRYW1-GE")</f>
        <v>Электропроводка FLRYW1-GE</v>
      </c>
      <c r="C1032" s="3" t="s">
        <v>8</v>
      </c>
      <c r="D1032" s="4">
        <v>535.20000000000005</v>
      </c>
      <c r="E1032" s="4">
        <v>90</v>
      </c>
      <c r="F1032" s="8">
        <v>0.83</v>
      </c>
      <c r="H1032" s="11"/>
      <c r="I1032" s="11"/>
      <c r="J1032" s="11"/>
    </row>
    <row r="1033" spans="1:10" ht="15.75" x14ac:dyDescent="0.3">
      <c r="A1033" s="13" t="str">
        <f>HYPERLINK("https://parts-sales.ru/parts/MAN/07081810576","07.08181-0576")</f>
        <v>07.08181-0576</v>
      </c>
      <c r="B1033" s="13" t="str">
        <f>HYPERLINK("https://parts-sales.ru/parts/MAN/07081810576","Электропроводка FLRYW1-BRGE")</f>
        <v>Электропроводка FLRYW1-BRGE</v>
      </c>
      <c r="C1033" s="5" t="s">
        <v>8</v>
      </c>
      <c r="D1033" s="6">
        <v>765.6</v>
      </c>
      <c r="E1033" s="6">
        <v>49</v>
      </c>
      <c r="F1033" s="9">
        <v>0.94</v>
      </c>
      <c r="H1033" s="11"/>
      <c r="I1033" s="11"/>
      <c r="J1033" s="11"/>
    </row>
    <row r="1034" spans="1:10" ht="15.75" x14ac:dyDescent="0.3">
      <c r="A1034" s="12" t="str">
        <f>HYPERLINK("https://parts-sales.ru/parts/MAN/07083020159","07.08302-0159")</f>
        <v>07.08302-0159</v>
      </c>
      <c r="B1034" s="12" t="str">
        <f>HYPERLINK("https://parts-sales.ru/parts/MAN/07083020159","Электропроводка FLRY2X0,75-A-RS*159-160")</f>
        <v>Электропроводка FLRY2X0,75-A-RS*159-160</v>
      </c>
      <c r="C1034" s="3" t="s">
        <v>8</v>
      </c>
      <c r="D1034" s="4">
        <v>778.8</v>
      </c>
      <c r="E1034" s="4">
        <v>145</v>
      </c>
      <c r="F1034" s="8">
        <v>0.81</v>
      </c>
      <c r="H1034" s="11"/>
      <c r="I1034" s="11"/>
      <c r="J1034" s="11"/>
    </row>
    <row r="1035" spans="1:10" ht="15.75" x14ac:dyDescent="0.3">
      <c r="A1035" s="13" t="str">
        <f>HYPERLINK("https://parts-sales.ru/parts/MAN/07083020191","07.08302-0191")</f>
        <v>07.08302-0191</v>
      </c>
      <c r="B1035" s="13" t="str">
        <f>HYPERLINK("https://parts-sales.ru/parts/MAN/07083020191","Электропроводка FLRY2X0,75-A-RS*191-192")</f>
        <v>Электропроводка FLRY2X0,75-A-RS*191-192</v>
      </c>
      <c r="C1035" s="5" t="s">
        <v>8</v>
      </c>
      <c r="D1035" s="6">
        <v>784.8</v>
      </c>
      <c r="E1035" s="6">
        <v>198</v>
      </c>
      <c r="F1035" s="9">
        <v>0.75</v>
      </c>
      <c r="H1035" s="11"/>
      <c r="I1035" s="11"/>
      <c r="J1035" s="11"/>
    </row>
    <row r="1036" spans="1:10" ht="15.75" x14ac:dyDescent="0.3">
      <c r="A1036" s="12" t="str">
        <f>HYPERLINK("https://parts-sales.ru/parts/MAN/07911630044","07.91163-0044")</f>
        <v>07.91163-0044</v>
      </c>
      <c r="B1036" s="12" t="str">
        <f>HYPERLINK("https://parts-sales.ru/parts/MAN/07911630044","Зажимное кольцо NW10-NH9-15/13-POM-SW")</f>
        <v>Зажимное кольцо NW10-NH9-15/13-POM-SW</v>
      </c>
      <c r="C1036" s="3" t="s">
        <v>8</v>
      </c>
      <c r="D1036" s="4">
        <v>333.6</v>
      </c>
      <c r="E1036" s="4">
        <v>69</v>
      </c>
      <c r="F1036" s="8">
        <v>0.79</v>
      </c>
      <c r="H1036" s="11"/>
      <c r="I1036" s="11"/>
      <c r="J1036" s="11"/>
    </row>
    <row r="1037" spans="1:10" ht="15.75" x14ac:dyDescent="0.3">
      <c r="A1037" s="13" t="str">
        <f>HYPERLINK("https://parts-sales.ru/parts/MAN/07911630054","07.91163-0054")</f>
        <v>07.91163-0054</v>
      </c>
      <c r="B1037" s="13" t="str">
        <f>HYPERLINK("https://parts-sales.ru/parts/MAN/07911630054","Заглушка 4,0-GN")</f>
        <v>Заглушка 4,0-GN</v>
      </c>
      <c r="C1037" s="5" t="s">
        <v>8</v>
      </c>
      <c r="D1037" s="6">
        <v>446.4</v>
      </c>
      <c r="E1037" s="6">
        <v>167</v>
      </c>
      <c r="F1037" s="9">
        <v>0.63</v>
      </c>
      <c r="H1037" s="11"/>
      <c r="I1037" s="11"/>
      <c r="J1037" s="11"/>
    </row>
    <row r="1038" spans="1:10" ht="15.75" x14ac:dyDescent="0.3">
      <c r="A1038" s="12" t="str">
        <f>HYPERLINK("https://parts-sales.ru/parts/MAN/07911630061","07.91163-0061")</f>
        <v>07.91163-0061</v>
      </c>
      <c r="B1038" s="12" t="str">
        <f>HYPERLINK("https://parts-sales.ru/parts/MAN/07911630061","Уплотнение для провода 0,35-1,0/7,2-HBL")</f>
        <v>Уплотнение для провода 0,35-1,0/7,2-HBL</v>
      </c>
      <c r="C1038" s="3" t="s">
        <v>8</v>
      </c>
      <c r="D1038" s="4">
        <v>370.8</v>
      </c>
      <c r="E1038" s="4">
        <v>13</v>
      </c>
      <c r="F1038" s="8">
        <v>0.96</v>
      </c>
      <c r="H1038" s="11"/>
      <c r="I1038" s="11"/>
      <c r="J1038" s="11"/>
    </row>
    <row r="1039" spans="1:10" ht="15.75" x14ac:dyDescent="0.3">
      <c r="A1039" s="13" t="str">
        <f>HYPERLINK("https://parts-sales.ru/parts/MAN/07911630062","07.91163-0062")</f>
        <v>07.91163-0062</v>
      </c>
      <c r="B1039" s="13" t="str">
        <f>HYPERLINK("https://parts-sales.ru/parts/MAN/07911630062","Уплотнение для провода 1,5-2,5/7,2-WS")</f>
        <v>Уплотнение для провода 1,5-2,5/7,2-WS</v>
      </c>
      <c r="C1039" s="5" t="s">
        <v>8</v>
      </c>
      <c r="D1039" s="6">
        <v>459.6</v>
      </c>
      <c r="E1039" s="6">
        <v>93</v>
      </c>
      <c r="F1039" s="9">
        <v>0.8</v>
      </c>
      <c r="H1039" s="11"/>
      <c r="I1039" s="11"/>
      <c r="J1039" s="11"/>
    </row>
    <row r="1040" spans="1:10" ht="15.75" x14ac:dyDescent="0.3">
      <c r="A1040" s="12" t="str">
        <f>HYPERLINK("https://parts-sales.ru/parts/MAN/07911630067","07.91163-0067")</f>
        <v>07.91163-0067</v>
      </c>
      <c r="B1040" s="12" t="str">
        <f>HYPERLINK("https://parts-sales.ru/parts/MAN/07911630067","Уплотнение для провода 1,5-2,5/5,4-GE")</f>
        <v>Уплотнение для провода 1,5-2,5/5,4-GE</v>
      </c>
      <c r="C1040" s="3" t="s">
        <v>8</v>
      </c>
      <c r="D1040" s="4">
        <v>279.60000000000002</v>
      </c>
      <c r="E1040" s="4">
        <v>48</v>
      </c>
      <c r="F1040" s="8">
        <v>0.83</v>
      </c>
      <c r="H1040" s="11"/>
      <c r="I1040" s="11"/>
      <c r="J1040" s="11"/>
    </row>
    <row r="1041" spans="1:10" ht="15.75" x14ac:dyDescent="0.3">
      <c r="A1041" s="13" t="str">
        <f>HYPERLINK("https://parts-sales.ru/parts/MAN/07911630068","07.91163-0068")</f>
        <v>07.91163-0068</v>
      </c>
      <c r="B1041" s="13" t="str">
        <f>HYPERLINK("https://parts-sales.ru/parts/MAN/07911630068","Заглушка 3,6-WS")</f>
        <v>Заглушка 3,6-WS</v>
      </c>
      <c r="C1041" s="5" t="s">
        <v>8</v>
      </c>
      <c r="D1041" s="6">
        <v>207.6</v>
      </c>
      <c r="E1041" s="6">
        <v>70</v>
      </c>
      <c r="F1041" s="9">
        <v>0.66</v>
      </c>
      <c r="H1041" s="11"/>
      <c r="I1041" s="11"/>
      <c r="J1041" s="11"/>
    </row>
    <row r="1042" spans="1:10" ht="15.75" x14ac:dyDescent="0.3">
      <c r="A1042" s="12" t="str">
        <f>HYPERLINK("https://parts-sales.ru/parts/MAN/07911630069","07.91163-0069")</f>
        <v>07.91163-0069</v>
      </c>
      <c r="B1042" s="12" t="str">
        <f>HYPERLINK("https://parts-sales.ru/parts/MAN/07911630069","Уплотнение для провода 0,5-1,0/3,6-GR")</f>
        <v>Уплотнение для провода 0,5-1,0/3,6-GR</v>
      </c>
      <c r="C1042" s="3" t="s">
        <v>8</v>
      </c>
      <c r="D1042" s="4">
        <v>361.2</v>
      </c>
      <c r="E1042" s="4">
        <v>146</v>
      </c>
      <c r="F1042" s="8">
        <v>0.6</v>
      </c>
      <c r="H1042" s="11"/>
      <c r="I1042" s="11"/>
      <c r="J1042" s="11"/>
    </row>
    <row r="1043" spans="1:10" ht="15.75" x14ac:dyDescent="0.3">
      <c r="A1043" s="13" t="str">
        <f>HYPERLINK("https://parts-sales.ru/parts/MAN/07911630072","07.91163-0072")</f>
        <v>07.91163-0072</v>
      </c>
      <c r="B1043" s="13" t="str">
        <f>HYPERLINK("https://parts-sales.ru/parts/MAN/07911630072","Уплотнение для провода 0,5-1,0/8,2-GE")</f>
        <v>Уплотнение для провода 0,5-1,0/8,2-GE</v>
      </c>
      <c r="C1043" s="5" t="s">
        <v>8</v>
      </c>
      <c r="D1043" s="6">
        <v>566.4</v>
      </c>
      <c r="E1043" s="6">
        <v>156</v>
      </c>
      <c r="F1043" s="9">
        <v>0.72</v>
      </c>
      <c r="H1043" s="11"/>
      <c r="I1043" s="11"/>
      <c r="J1043" s="11"/>
    </row>
    <row r="1044" spans="1:10" ht="15.75" x14ac:dyDescent="0.3">
      <c r="A1044" s="12" t="str">
        <f>HYPERLINK("https://parts-sales.ru/parts/MAN/07911630073","07.91163-0073")</f>
        <v>07.91163-0073</v>
      </c>
      <c r="B1044" s="12" t="str">
        <f>HYPERLINK("https://parts-sales.ru/parts/MAN/07911630073","Уплотнение для провода 1,5-2,5/8,2-WS")</f>
        <v>Уплотнение для провода 1,5-2,5/8,2-WS</v>
      </c>
      <c r="C1044" s="3" t="s">
        <v>8</v>
      </c>
      <c r="D1044" s="4">
        <v>99.6</v>
      </c>
      <c r="E1044" s="4">
        <v>50</v>
      </c>
      <c r="F1044" s="8">
        <v>0.5</v>
      </c>
      <c r="H1044" s="11"/>
      <c r="I1044" s="11"/>
      <c r="J1044" s="11"/>
    </row>
    <row r="1045" spans="1:10" ht="15.75" x14ac:dyDescent="0.3">
      <c r="A1045" s="13" t="str">
        <f>HYPERLINK("https://parts-sales.ru/parts/MAN/07911630083","07.91163-0083")</f>
        <v>07.91163-0083</v>
      </c>
      <c r="B1045" s="13" t="str">
        <f>HYPERLINK("https://parts-sales.ru/parts/MAN/07911630083","Уплотнение для провода 0,22-1,0/5,2-BL")</f>
        <v>Уплотнение для провода 0,22-1,0/5,2-BL</v>
      </c>
      <c r="C1045" s="5" t="s">
        <v>8</v>
      </c>
      <c r="D1045" s="6">
        <v>738</v>
      </c>
      <c r="E1045" s="6">
        <v>91</v>
      </c>
      <c r="F1045" s="9">
        <v>0.88</v>
      </c>
      <c r="H1045" s="11"/>
      <c r="I1045" s="11"/>
      <c r="J1045" s="11"/>
    </row>
    <row r="1046" spans="1:10" ht="15.75" x14ac:dyDescent="0.3">
      <c r="A1046" s="12" t="str">
        <f>HYPERLINK("https://parts-sales.ru/parts/MAN/07911630086","07.91163-0086")</f>
        <v>07.91163-0086</v>
      </c>
      <c r="B1046" s="12" t="str">
        <f>HYPERLINK("https://parts-sales.ru/parts/MAN/07911630086","Уплотнение для провода 1,0-1,5/3,6-GE")</f>
        <v>Уплотнение для провода 1,0-1,5/3,6-GE</v>
      </c>
      <c r="C1046" s="3" t="s">
        <v>8</v>
      </c>
      <c r="D1046" s="4">
        <v>727.2</v>
      </c>
      <c r="E1046" s="4">
        <v>139</v>
      </c>
      <c r="F1046" s="8">
        <v>0.81</v>
      </c>
      <c r="H1046" s="11"/>
      <c r="I1046" s="11"/>
      <c r="J1046" s="11"/>
    </row>
    <row r="1047" spans="1:10" ht="15.75" x14ac:dyDescent="0.3">
      <c r="A1047" s="13" t="str">
        <f>HYPERLINK("https://parts-sales.ru/parts/MAN/07911630094","07.91163-0094")</f>
        <v>07.91163-0094</v>
      </c>
      <c r="B1047" s="13" t="str">
        <f>HYPERLINK("https://parts-sales.ru/parts/MAN/07911630094","Заглушка 3,45-BL")</f>
        <v>Заглушка 3,45-BL</v>
      </c>
      <c r="C1047" s="5" t="s">
        <v>8</v>
      </c>
      <c r="D1047" s="6">
        <v>116.4</v>
      </c>
      <c r="E1047" s="6">
        <v>23</v>
      </c>
      <c r="F1047" s="9">
        <v>0.8</v>
      </c>
      <c r="H1047" s="11"/>
      <c r="I1047" s="11"/>
      <c r="J1047" s="11"/>
    </row>
    <row r="1048" spans="1:10" ht="15.75" x14ac:dyDescent="0.3">
      <c r="A1048" s="12" t="str">
        <f>HYPERLINK("https://parts-sales.ru/parts/MAN/07911630123","07.91163-0123")</f>
        <v>07.91163-0123</v>
      </c>
      <c r="B1048" s="12" t="str">
        <f>HYPERLINK("https://parts-sales.ru/parts/MAN/07911630123","Уплотнение для провода 1,0-1,5")</f>
        <v>Уплотнение для провода 1,0-1,5</v>
      </c>
      <c r="C1048" s="3" t="s">
        <v>8</v>
      </c>
      <c r="D1048" s="4">
        <v>496.8</v>
      </c>
      <c r="E1048" s="4">
        <v>101</v>
      </c>
      <c r="F1048" s="8">
        <v>0.8</v>
      </c>
      <c r="H1048" s="11"/>
      <c r="I1048" s="11"/>
      <c r="J1048" s="11"/>
    </row>
    <row r="1049" spans="1:10" ht="15.75" x14ac:dyDescent="0.3">
      <c r="A1049" s="13" t="str">
        <f>HYPERLINK("https://parts-sales.ru/parts/MAN/07911640116","07.91164-0116")</f>
        <v>07.91164-0116</v>
      </c>
      <c r="B1049" s="13" t="str">
        <f>HYPERLINK("https://parts-sales.ru/parts/MAN/07911640116","Конический адаптер M27X1-PG11-PA-GR")</f>
        <v>Конический адаптер M27X1-PG11-PA-GR</v>
      </c>
      <c r="C1049" s="5" t="s">
        <v>8</v>
      </c>
      <c r="D1049" s="6">
        <v>1551.6</v>
      </c>
      <c r="E1049" s="6">
        <v>354</v>
      </c>
      <c r="F1049" s="9">
        <v>0.77</v>
      </c>
      <c r="H1049" s="11"/>
      <c r="I1049" s="11"/>
      <c r="J1049" s="11"/>
    </row>
    <row r="1050" spans="1:10" ht="15.75" x14ac:dyDescent="0.3">
      <c r="A1050" s="12" t="str">
        <f>HYPERLINK("https://parts-sales.ru/parts/MAN/07911680046","07.91168-0046")</f>
        <v>07.91168-0046</v>
      </c>
      <c r="B1050" s="12" t="str">
        <f>HYPERLINK("https://parts-sales.ru/parts/MAN/07911680046","Накидная гайка A-NW10-PG11-PA")</f>
        <v>Накидная гайка A-NW10-PG11-PA</v>
      </c>
      <c r="C1050" s="3" t="s">
        <v>8</v>
      </c>
      <c r="D1050" s="4">
        <v>708</v>
      </c>
      <c r="E1050" s="4">
        <v>117</v>
      </c>
      <c r="F1050" s="8">
        <v>0.83</v>
      </c>
      <c r="H1050" s="11"/>
      <c r="I1050" s="11"/>
      <c r="J1050" s="11"/>
    </row>
    <row r="1051" spans="1:10" ht="15.75" x14ac:dyDescent="0.3">
      <c r="A1051" s="13" t="str">
        <f>HYPERLINK("https://parts-sales.ru/parts/MAN/07911680051","07.91168-0051")</f>
        <v>07.91168-0051</v>
      </c>
      <c r="B1051" s="13" t="str">
        <f>HYPERLINK("https://parts-sales.ru/parts/MAN/07911680051","Накидная гайка A-43,0-BAJO52-PA6-SW")</f>
        <v>Накидная гайка A-43,0-BAJO52-PA6-SW</v>
      </c>
      <c r="C1051" s="5" t="s">
        <v>8</v>
      </c>
      <c r="D1051" s="6">
        <v>832.8</v>
      </c>
      <c r="E1051" s="6">
        <v>166</v>
      </c>
      <c r="F1051" s="9">
        <v>0.8</v>
      </c>
      <c r="H1051" s="11"/>
      <c r="I1051" s="11"/>
      <c r="J1051" s="11"/>
    </row>
    <row r="1052" spans="1:10" ht="15.75" x14ac:dyDescent="0.3">
      <c r="A1052" s="12" t="str">
        <f>HYPERLINK("https://parts-sales.ru/parts/MAN/07912010216","07.91201-0216")</f>
        <v>07.91201-0216</v>
      </c>
      <c r="B1052" s="12" t="str">
        <f>HYPERLINK("https://parts-sales.ru/parts/MAN/07912010216","Плоский разъем 1,6-1,5/2,6X2,2ST-CUFE2P")</f>
        <v>Плоский разъем 1,6-1,5/2,6X2,2ST-CUFE2P</v>
      </c>
      <c r="C1052" s="3" t="s">
        <v>8</v>
      </c>
      <c r="D1052" s="4">
        <v>165.6</v>
      </c>
      <c r="E1052" s="4">
        <v>32</v>
      </c>
      <c r="F1052" s="8">
        <v>0.81</v>
      </c>
      <c r="H1052" s="11"/>
      <c r="I1052" s="11"/>
      <c r="J1052" s="11"/>
    </row>
    <row r="1053" spans="1:10" ht="15.75" x14ac:dyDescent="0.3">
      <c r="A1053" s="13" t="str">
        <f>HYPERLINK("https://parts-sales.ru/parts/MAN/07912010217","07.91201-0217")</f>
        <v>07.91201-0217</v>
      </c>
      <c r="B1053" s="13" t="str">
        <f>HYPERLINK("https://parts-sales.ru/parts/MAN/07912010217","Плоский разъем 1,5-1,0/2,6X2,2BD-ST-CUSN")</f>
        <v>Плоский разъем 1,5-1,0/2,6X2,2BD-ST-CUSN</v>
      </c>
      <c r="C1053" s="5" t="s">
        <v>8</v>
      </c>
      <c r="D1053" s="6">
        <v>252</v>
      </c>
      <c r="E1053" s="6">
        <v>85</v>
      </c>
      <c r="F1053" s="9">
        <v>0.66</v>
      </c>
      <c r="H1053" s="11"/>
      <c r="I1053" s="11"/>
      <c r="J1053" s="11"/>
    </row>
    <row r="1054" spans="1:10" ht="15.75" x14ac:dyDescent="0.3">
      <c r="A1054" s="12" t="str">
        <f>HYPERLINK("https://parts-sales.ru/parts/MAN/07912010224","07.91201-0224")</f>
        <v>07.91201-0224</v>
      </c>
      <c r="B1054" s="12" t="str">
        <f>HYPERLINK("https://parts-sales.ru/parts/MAN/07912010224","Пружинящая контакт-деталь 2,8-2,5/4,0X3,")</f>
        <v>Пружинящая контакт-деталь 2,8-2,5/4,0X3,</v>
      </c>
      <c r="C1054" s="3" t="s">
        <v>8</v>
      </c>
      <c r="D1054" s="4">
        <v>203.69</v>
      </c>
      <c r="E1054" s="4">
        <v>34</v>
      </c>
      <c r="F1054" s="8">
        <v>0.83</v>
      </c>
      <c r="H1054" s="11"/>
      <c r="I1054" s="11"/>
      <c r="J1054" s="11"/>
    </row>
    <row r="1055" spans="1:10" ht="15.75" x14ac:dyDescent="0.3">
      <c r="A1055" s="13" t="str">
        <f>HYPERLINK("https://parts-sales.ru/parts/MAN/07912010226","07.91201-0226")</f>
        <v>07.91201-0226</v>
      </c>
      <c r="B1055" s="13" t="str">
        <f>HYPERLINK("https://parts-sales.ru/parts/MAN/07912010226","Пружинящая контакт-деталь 2,8-1,0/4,0X3,")</f>
        <v>Пружинящая контакт-деталь 2,8-1,0/4,0X3,</v>
      </c>
      <c r="C1055" s="5" t="s">
        <v>8</v>
      </c>
      <c r="D1055" s="6">
        <v>203.69</v>
      </c>
      <c r="E1055" s="6">
        <v>32</v>
      </c>
      <c r="F1055" s="9">
        <v>0.84</v>
      </c>
      <c r="H1055" s="11"/>
      <c r="I1055" s="11"/>
      <c r="J1055" s="11"/>
    </row>
    <row r="1056" spans="1:10" ht="15.75" x14ac:dyDescent="0.3">
      <c r="A1056" s="12" t="str">
        <f>HYPERLINK("https://parts-sales.ru/parts/MAN/07912010618","07.91201-0618")</f>
        <v>07.91201-0618</v>
      </c>
      <c r="B1056" s="12" t="str">
        <f>HYPERLINK("https://parts-sales.ru/parts/MAN/07912010618","Пружинящая контакт-деталь 2,8-0,35/4,0X3")</f>
        <v>Пружинящая контакт-деталь 2,8-0,35/4,0X3</v>
      </c>
      <c r="C1056" s="3" t="s">
        <v>8</v>
      </c>
      <c r="D1056" s="4">
        <v>414</v>
      </c>
      <c r="E1056" s="4">
        <v>98</v>
      </c>
      <c r="F1056" s="8">
        <v>0.76</v>
      </c>
      <c r="H1056" s="11"/>
      <c r="I1056" s="11"/>
      <c r="J1056" s="11"/>
    </row>
    <row r="1057" spans="1:10" ht="15.75" x14ac:dyDescent="0.3">
      <c r="A1057" s="13" t="str">
        <f>HYPERLINK("https://parts-sales.ru/parts/MAN/07912010619","07.91201-0619")</f>
        <v>07.91201-0619</v>
      </c>
      <c r="B1057" s="13" t="str">
        <f>HYPERLINK("https://parts-sales.ru/parts/MAN/07912010619","Пружинящая контакт-деталь 2,8-1,0/4,0X3,")</f>
        <v>Пружинящая контакт-деталь 2,8-1,0/4,0X3,</v>
      </c>
      <c r="C1057" s="5" t="s">
        <v>8</v>
      </c>
      <c r="D1057" s="6">
        <v>268.8</v>
      </c>
      <c r="E1057" s="6">
        <v>102</v>
      </c>
      <c r="F1057" s="9">
        <v>0.62</v>
      </c>
      <c r="H1057" s="11"/>
      <c r="I1057" s="11"/>
      <c r="J1057" s="11"/>
    </row>
    <row r="1058" spans="1:10" ht="15.75" x14ac:dyDescent="0.3">
      <c r="A1058" s="12" t="str">
        <f>HYPERLINK("https://parts-sales.ru/parts/MAN/07912010642","07.91201-0642")</f>
        <v>07.91201-0642</v>
      </c>
      <c r="B1058" s="12" t="str">
        <f>HYPERLINK("https://parts-sales.ru/parts/MAN/07912010642","Контакт втулки 2,8-4,0-CUNISI-SN")</f>
        <v>Контакт втулки 2,8-4,0-CUNISI-SN</v>
      </c>
      <c r="C1058" s="3" t="s">
        <v>8</v>
      </c>
      <c r="D1058" s="4">
        <v>330</v>
      </c>
      <c r="E1058" s="4">
        <v>85</v>
      </c>
      <c r="F1058" s="8">
        <v>0.74</v>
      </c>
      <c r="H1058" s="11"/>
      <c r="I1058" s="11"/>
      <c r="J1058" s="11"/>
    </row>
    <row r="1059" spans="1:10" ht="15.75" x14ac:dyDescent="0.3">
      <c r="A1059" s="13" t="str">
        <f>HYPERLINK("https://parts-sales.ru/parts/MAN/07912010643","07.91201-0643")</f>
        <v>07.91201-0643</v>
      </c>
      <c r="B1059" s="13" t="str">
        <f>HYPERLINK("https://parts-sales.ru/parts/MAN/07912010643","Контакт втулки 2,8-1,5-CUNISI-SN")</f>
        <v>Контакт втулки 2,8-1,5-CUNISI-SN</v>
      </c>
      <c r="C1059" s="5" t="s">
        <v>8</v>
      </c>
      <c r="D1059" s="6">
        <v>201.6</v>
      </c>
      <c r="E1059" s="6">
        <v>55</v>
      </c>
      <c r="F1059" s="9">
        <v>0.73</v>
      </c>
      <c r="H1059" s="11"/>
      <c r="I1059" s="11"/>
      <c r="J1059" s="11"/>
    </row>
    <row r="1060" spans="1:10" ht="15.75" x14ac:dyDescent="0.3">
      <c r="A1060" s="12" t="str">
        <f>HYPERLINK("https://parts-sales.ru/parts/MAN/07912010644","07.91201-0644")</f>
        <v>07.91201-0644</v>
      </c>
      <c r="B1060" s="12" t="str">
        <f>HYPERLINK("https://parts-sales.ru/parts/MAN/07912010644","Контакт втулки 2,8-0,5-CUNISI-SN")</f>
        <v>Контакт втулки 2,8-0,5-CUNISI-SN</v>
      </c>
      <c r="C1060" s="3" t="s">
        <v>8</v>
      </c>
      <c r="D1060" s="4">
        <v>381.6</v>
      </c>
      <c r="E1060" s="4">
        <v>96</v>
      </c>
      <c r="F1060" s="8">
        <v>0.75</v>
      </c>
      <c r="H1060" s="11"/>
      <c r="I1060" s="11"/>
      <c r="J1060" s="11"/>
    </row>
    <row r="1061" spans="1:10" ht="15.75" x14ac:dyDescent="0.3">
      <c r="A1061" s="13" t="str">
        <f>HYPERLINK("https://parts-sales.ru/parts/MAN/07912010656","07.91201-0656")</f>
        <v>07.91201-0656</v>
      </c>
      <c r="B1061" s="13" t="str">
        <f>HYPERLINK("https://parts-sales.ru/parts/MAN/07912010656","Пружинящая контакт-деталь 0,5-1,0 AG MCP")</f>
        <v>Пружинящая контакт-деталь 0,5-1,0 AG MCP</v>
      </c>
      <c r="C1061" s="5" t="s">
        <v>8</v>
      </c>
      <c r="D1061" s="6">
        <v>480</v>
      </c>
      <c r="E1061" s="6">
        <v>95</v>
      </c>
      <c r="F1061" s="9">
        <v>0.8</v>
      </c>
      <c r="H1061" s="11"/>
      <c r="I1061" s="11"/>
      <c r="J1061" s="11"/>
    </row>
    <row r="1062" spans="1:10" ht="15.75" x14ac:dyDescent="0.3">
      <c r="A1062" s="12" t="str">
        <f>HYPERLINK("https://parts-sales.ru/parts/MAN/07912010804","07.91201-0804")</f>
        <v>07.91201-0804</v>
      </c>
      <c r="B1062" s="12" t="str">
        <f>HYPERLINK("https://parts-sales.ru/parts/MAN/07912010804","Контакт втулки 2,8-1,0BD-ST-CUSN-SN")</f>
        <v>Контакт втулки 2,8-1,0BD-ST-CUSN-SN</v>
      </c>
      <c r="C1062" s="3" t="s">
        <v>8</v>
      </c>
      <c r="D1062" s="4">
        <v>288</v>
      </c>
      <c r="E1062" s="4">
        <v>62</v>
      </c>
      <c r="F1062" s="8">
        <v>0.78</v>
      </c>
      <c r="H1062" s="11"/>
      <c r="I1062" s="11"/>
      <c r="J1062" s="11"/>
    </row>
    <row r="1063" spans="1:10" ht="15.75" x14ac:dyDescent="0.3">
      <c r="A1063" s="13" t="str">
        <f>HYPERLINK("https://parts-sales.ru/parts/MAN/07912010838","07.91201-0838")</f>
        <v>07.91201-0838</v>
      </c>
      <c r="B1063" s="13" t="str">
        <f>HYPERLINK("https://parts-sales.ru/parts/MAN/07912010838","Контакт втулки 2,8-1,5BD-ST-CUNISI-SN")</f>
        <v>Контакт втулки 2,8-1,5BD-ST-CUNISI-SN</v>
      </c>
      <c r="C1063" s="5" t="s">
        <v>8</v>
      </c>
      <c r="D1063" s="6">
        <v>381.6</v>
      </c>
      <c r="E1063" s="6">
        <v>217</v>
      </c>
      <c r="F1063" s="9">
        <v>0.43</v>
      </c>
      <c r="H1063" s="11"/>
      <c r="I1063" s="11"/>
      <c r="J1063" s="11"/>
    </row>
    <row r="1064" spans="1:10" ht="15.75" x14ac:dyDescent="0.3">
      <c r="A1064" s="12" t="str">
        <f>HYPERLINK("https://parts-sales.ru/parts/MAN/07912010859","07.91201-0859")</f>
        <v>07.91201-0859</v>
      </c>
      <c r="B1064" s="12" t="str">
        <f>HYPERLINK("https://parts-sales.ru/parts/MAN/07912010859","Штепсельная гильза 0,5-1,0 CUNISI-SN")</f>
        <v>Штепсельная гильза 0,5-1,0 CUNISI-SN</v>
      </c>
      <c r="C1064" s="3" t="s">
        <v>8</v>
      </c>
      <c r="D1064" s="4">
        <v>207.6</v>
      </c>
      <c r="E1064" s="4">
        <v>45</v>
      </c>
      <c r="F1064" s="8">
        <v>0.78</v>
      </c>
      <c r="H1064" s="11"/>
      <c r="I1064" s="11"/>
      <c r="J1064" s="11"/>
    </row>
    <row r="1065" spans="1:10" ht="15.75" x14ac:dyDescent="0.3">
      <c r="A1065" s="13" t="str">
        <f>HYPERLINK("https://parts-sales.ru/parts/MAN/07912010862","07.91201-0862")</f>
        <v>07.91201-0862</v>
      </c>
      <c r="B1065" s="13" t="str">
        <f>HYPERLINK("https://parts-sales.ru/parts/MAN/07912010862","Штепсельная гильза 2,8 CU-LEG-SN")</f>
        <v>Штепсельная гильза 2,8 CU-LEG-SN</v>
      </c>
      <c r="C1065" s="5" t="s">
        <v>8</v>
      </c>
      <c r="D1065" s="6">
        <v>237.6</v>
      </c>
      <c r="E1065" s="6">
        <v>26</v>
      </c>
      <c r="F1065" s="9">
        <v>0.89</v>
      </c>
      <c r="H1065" s="11"/>
      <c r="I1065" s="11"/>
      <c r="J1065" s="11"/>
    </row>
    <row r="1066" spans="1:10" ht="15.75" x14ac:dyDescent="0.3">
      <c r="A1066" s="12" t="str">
        <f>HYPERLINK("https://parts-sales.ru/parts/MAN/07912010863","07.91201-0863")</f>
        <v>07.91201-0863</v>
      </c>
      <c r="B1066" s="12" t="str">
        <f>HYPERLINK("https://parts-sales.ru/parts/MAN/07912010863","Штепсельная гильза")</f>
        <v>Штепсельная гильза</v>
      </c>
      <c r="C1066" s="3" t="s">
        <v>8</v>
      </c>
      <c r="D1066" s="4">
        <v>268.8</v>
      </c>
      <c r="E1066" s="4">
        <v>51</v>
      </c>
      <c r="F1066" s="8">
        <v>0.81</v>
      </c>
      <c r="H1066" s="11"/>
      <c r="I1066" s="11"/>
      <c r="J1066" s="11"/>
    </row>
    <row r="1067" spans="1:10" ht="15.75" x14ac:dyDescent="0.3">
      <c r="A1067" s="13" t="str">
        <f>HYPERLINK("https://parts-sales.ru/parts/MAN/07912011611","07.91201-1611")</f>
        <v>07.91201-1611</v>
      </c>
      <c r="B1067" s="13" t="str">
        <f>HYPERLINK("https://parts-sales.ru/parts/MAN/07912011611","Штепсельная гильза 4,8-1")</f>
        <v>Штепсельная гильза 4,8-1</v>
      </c>
      <c r="C1067" s="5" t="s">
        <v>8</v>
      </c>
      <c r="D1067" s="6">
        <v>376.8</v>
      </c>
      <c r="E1067" s="6">
        <v>75</v>
      </c>
      <c r="F1067" s="9">
        <v>0.8</v>
      </c>
      <c r="H1067" s="11"/>
      <c r="I1067" s="11"/>
      <c r="J1067" s="11"/>
    </row>
    <row r="1068" spans="1:10" ht="15.75" x14ac:dyDescent="0.3">
      <c r="A1068" s="12" t="str">
        <f>HYPERLINK("https://parts-sales.ru/parts/MAN/07912011711","07.91201-1711")</f>
        <v>07.91201-1711</v>
      </c>
      <c r="B1068" s="12" t="str">
        <f>HYPERLINK("https://parts-sales.ru/parts/MAN/07912011711","Штепсельная гильза 4,8-1BD-BZ-S")</f>
        <v>Штепсельная гильза 4,8-1BD-BZ-S</v>
      </c>
      <c r="C1068" s="3" t="s">
        <v>8</v>
      </c>
      <c r="D1068" s="4">
        <v>324</v>
      </c>
      <c r="E1068" s="4">
        <v>92</v>
      </c>
      <c r="F1068" s="8">
        <v>0.72</v>
      </c>
      <c r="H1068" s="11"/>
      <c r="I1068" s="11"/>
      <c r="J1068" s="11"/>
    </row>
    <row r="1069" spans="1:10" ht="15.75" x14ac:dyDescent="0.3">
      <c r="A1069" s="13" t="str">
        <f>HYPERLINK("https://parts-sales.ru/parts/MAN/07912011713","07.91201-1713")</f>
        <v>07.91201-1713</v>
      </c>
      <c r="B1069" s="13" t="str">
        <f>HYPERLINK("https://parts-sales.ru/parts/MAN/07912011713","Штепсельная гильза 4,8-2,5BD-BZ-S")</f>
        <v>Штепсельная гильза 4,8-2,5BD-BZ-S</v>
      </c>
      <c r="C1069" s="5" t="s">
        <v>8</v>
      </c>
      <c r="D1069" s="6">
        <v>324</v>
      </c>
      <c r="E1069" s="6">
        <v>79</v>
      </c>
      <c r="F1069" s="9">
        <v>0.76</v>
      </c>
      <c r="H1069" s="11"/>
      <c r="I1069" s="11"/>
      <c r="J1069" s="11"/>
    </row>
    <row r="1070" spans="1:10" ht="15.75" x14ac:dyDescent="0.3">
      <c r="A1070" s="12" t="str">
        <f>HYPERLINK("https://parts-sales.ru/parts/MAN/07912012440","07.91201-2440")</f>
        <v>07.91201-2440</v>
      </c>
      <c r="B1070" s="12" t="str">
        <f>HYPERLINK("https://parts-sales.ru/parts/MAN/07912012440","Пружинящая контакт-деталь 5,8-1,0/6,85X3")</f>
        <v>Пружинящая контакт-деталь 5,8-1,0/6,85X3</v>
      </c>
      <c r="C1070" s="3" t="s">
        <v>8</v>
      </c>
      <c r="D1070" s="4">
        <v>232.1</v>
      </c>
      <c r="E1070" s="4">
        <v>42</v>
      </c>
      <c r="F1070" s="8">
        <v>0.82</v>
      </c>
      <c r="H1070" s="11"/>
      <c r="I1070" s="11"/>
      <c r="J1070" s="11"/>
    </row>
    <row r="1071" spans="1:10" ht="15.75" x14ac:dyDescent="0.3">
      <c r="A1071" s="13" t="str">
        <f>HYPERLINK("https://parts-sales.ru/parts/MAN/07912012442","07.91201-2442")</f>
        <v>07.91201-2442</v>
      </c>
      <c r="B1071" s="13" t="str">
        <f>HYPERLINK("https://parts-sales.ru/parts/MAN/07912012442","Пружинящая контакт-деталь 5,8-4,0/6,85X3")</f>
        <v>Пружинящая контакт-деталь 5,8-4,0/6,85X3</v>
      </c>
      <c r="C1071" s="5" t="s">
        <v>8</v>
      </c>
      <c r="D1071" s="6">
        <v>308.39999999999998</v>
      </c>
      <c r="E1071" s="6">
        <v>104</v>
      </c>
      <c r="F1071" s="9">
        <v>0.66</v>
      </c>
      <c r="H1071" s="11"/>
      <c r="I1071" s="11"/>
      <c r="J1071" s="11"/>
    </row>
    <row r="1072" spans="1:10" ht="15.75" x14ac:dyDescent="0.3">
      <c r="A1072" s="12" t="str">
        <f>HYPERLINK("https://parts-sales.ru/parts/MAN/07912012448","07.91201-2448")</f>
        <v>07.91201-2448</v>
      </c>
      <c r="B1072" s="12" t="str">
        <f>HYPERLINK("https://parts-sales.ru/parts/MAN/07912012448","Пружинящая контакт-деталь 5,8-2,5/6,85X3")</f>
        <v>Пружинящая контакт-деталь 5,8-2,5/6,85X3</v>
      </c>
      <c r="C1072" s="3" t="s">
        <v>8</v>
      </c>
      <c r="D1072" s="4">
        <v>830.53</v>
      </c>
      <c r="E1072" s="4">
        <v>415</v>
      </c>
      <c r="F1072" s="8">
        <v>0.5</v>
      </c>
      <c r="H1072" s="11"/>
      <c r="I1072" s="11"/>
      <c r="J1072" s="11"/>
    </row>
    <row r="1073" spans="1:10" ht="15.75" x14ac:dyDescent="0.3">
      <c r="A1073" s="13" t="str">
        <f>HYPERLINK("https://parts-sales.ru/parts/MAN/07912012449","07.91201-2449")</f>
        <v>07.91201-2449</v>
      </c>
      <c r="B1073" s="13" t="str">
        <f>HYPERLINK("https://parts-sales.ru/parts/MAN/07912012449","Пружинящая контакт-деталь 5,8-4,0/6,85X3")</f>
        <v>Пружинящая контакт-деталь 5,8-4,0/6,85X3</v>
      </c>
      <c r="C1073" s="5" t="s">
        <v>8</v>
      </c>
      <c r="D1073" s="6">
        <v>949.2</v>
      </c>
      <c r="E1073" s="6">
        <v>243</v>
      </c>
      <c r="F1073" s="9">
        <v>0.74</v>
      </c>
      <c r="H1073" s="11"/>
      <c r="I1073" s="11"/>
      <c r="J1073" s="11"/>
    </row>
    <row r="1074" spans="1:10" ht="15.75" x14ac:dyDescent="0.3">
      <c r="A1074" s="12" t="str">
        <f>HYPERLINK("https://parts-sales.ru/parts/MAN/07912012450","07.91201-2450")</f>
        <v>07.91201-2450</v>
      </c>
      <c r="B1074" s="12" t="str">
        <f>HYPERLINK("https://parts-sales.ru/parts/MAN/07912012450","Пружинящая контакт-деталь 5,8-1,0/6,85X3")</f>
        <v>Пружинящая контакт-деталь 5,8-1,0/6,85X3</v>
      </c>
      <c r="C1074" s="3" t="s">
        <v>8</v>
      </c>
      <c r="D1074" s="4">
        <v>949.2</v>
      </c>
      <c r="E1074" s="4">
        <v>243</v>
      </c>
      <c r="F1074" s="8">
        <v>0.74</v>
      </c>
      <c r="H1074" s="11"/>
      <c r="I1074" s="11"/>
      <c r="J1074" s="11"/>
    </row>
    <row r="1075" spans="1:10" ht="15.75" x14ac:dyDescent="0.3">
      <c r="A1075" s="13" t="str">
        <f>HYPERLINK("https://parts-sales.ru/parts/MAN/07912012456","07.91201-2456")</f>
        <v>07.91201-2456</v>
      </c>
      <c r="B1075" s="13" t="str">
        <f>HYPERLINK("https://parts-sales.ru/parts/MAN/07912012456","Контакт втулки 1,0-2,5BD/6,3-4,8K-CUNISI")</f>
        <v>Контакт втулки 1,0-2,5BD/6,3-4,8K-CUNISI</v>
      </c>
      <c r="C1075" s="5" t="s">
        <v>8</v>
      </c>
      <c r="D1075" s="6">
        <v>330</v>
      </c>
      <c r="E1075" s="6">
        <v>184</v>
      </c>
      <c r="F1075" s="9">
        <v>0.44</v>
      </c>
      <c r="H1075" s="11"/>
      <c r="I1075" s="11"/>
      <c r="J1075" s="11"/>
    </row>
    <row r="1076" spans="1:10" ht="15.75" x14ac:dyDescent="0.3">
      <c r="A1076" s="12" t="str">
        <f>HYPERLINK("https://parts-sales.ru/parts/MAN/07912012459","07.91201-2459")</f>
        <v>07.91201-2459</v>
      </c>
      <c r="B1076" s="12" t="str">
        <f>HYPERLINK("https://parts-sales.ru/parts/MAN/07912012459","Контакт втулки 0,5-1,0/6,3-4,8K-BD-CUNIS")</f>
        <v>Контакт втулки 0,5-1,0/6,3-4,8K-BD-CUNIS</v>
      </c>
      <c r="C1076" s="3" t="s">
        <v>8</v>
      </c>
      <c r="D1076" s="4">
        <v>314.39999999999998</v>
      </c>
      <c r="E1076" s="4">
        <v>84</v>
      </c>
      <c r="F1076" s="8">
        <v>0.73</v>
      </c>
      <c r="H1076" s="11"/>
      <c r="I1076" s="11"/>
      <c r="J1076" s="11"/>
    </row>
    <row r="1077" spans="1:10" ht="15.75" x14ac:dyDescent="0.3">
      <c r="A1077" s="13" t="str">
        <f>HYPERLINK("https://parts-sales.ru/parts/MAN/07912012462","07.91201-2462")</f>
        <v>07.91201-2462</v>
      </c>
      <c r="B1077" s="13" t="str">
        <f>HYPERLINK("https://parts-sales.ru/parts/MAN/07912012462","Контакт втулки 0,2-0,5BD/6,3-4,8K-CUNISI")</f>
        <v>Контакт втулки 0,2-0,5BD/6,3-4,8K-CUNISI</v>
      </c>
      <c r="C1077" s="5" t="s">
        <v>8</v>
      </c>
      <c r="D1077" s="6">
        <v>529.20000000000005</v>
      </c>
      <c r="E1077" s="6">
        <v>119</v>
      </c>
      <c r="F1077" s="9">
        <v>0.78</v>
      </c>
      <c r="H1077" s="11"/>
      <c r="I1077" s="11"/>
      <c r="J1077" s="11"/>
    </row>
    <row r="1078" spans="1:10" ht="15.75" x14ac:dyDescent="0.3">
      <c r="A1078" s="12" t="str">
        <f>HYPERLINK("https://parts-sales.ru/parts/MAN/07912012513","07.91201-2513")</f>
        <v>07.91201-2513</v>
      </c>
      <c r="B1078" s="12" t="str">
        <f>HYPERLINK("https://parts-sales.ru/parts/MAN/07912012513","Штепсельная гильза 6,3-2,5-CUSN4F48-SN3")</f>
        <v>Штепсельная гильза 6,3-2,5-CUSN4F48-SN3</v>
      </c>
      <c r="C1078" s="3" t="s">
        <v>8</v>
      </c>
      <c r="D1078" s="4">
        <v>376.8</v>
      </c>
      <c r="E1078" s="4">
        <v>46</v>
      </c>
      <c r="F1078" s="8">
        <v>0.88</v>
      </c>
      <c r="H1078" s="11"/>
      <c r="I1078" s="11"/>
      <c r="J1078" s="11"/>
    </row>
    <row r="1079" spans="1:10" ht="15.75" x14ac:dyDescent="0.3">
      <c r="A1079" s="13" t="str">
        <f>HYPERLINK("https://parts-sales.ru/parts/MAN/07912012603","07.91201-2603")</f>
        <v>07.91201-2603</v>
      </c>
      <c r="B1079" s="13" t="str">
        <f>HYPERLINK("https://parts-sales.ru/parts/MAN/07912012603","Штепсельная гильза B6,3-2,5-CUSN-SN")</f>
        <v>Штепсельная гильза B6,3-2,5-CUSN-SN</v>
      </c>
      <c r="C1079" s="5" t="s">
        <v>8</v>
      </c>
      <c r="D1079" s="6">
        <v>436.8</v>
      </c>
      <c r="E1079" s="6">
        <v>140</v>
      </c>
      <c r="F1079" s="9">
        <v>0.68</v>
      </c>
      <c r="H1079" s="11"/>
      <c r="I1079" s="11"/>
      <c r="J1079" s="11"/>
    </row>
    <row r="1080" spans="1:10" ht="15.75" x14ac:dyDescent="0.3">
      <c r="A1080" s="12" t="str">
        <f>HYPERLINK("https://parts-sales.ru/parts/MAN/07912012612","07.91201-2612")</f>
        <v>07.91201-2612</v>
      </c>
      <c r="B1080" s="12" t="str">
        <f>HYPERLINK("https://parts-sales.ru/parts/MAN/07912012612","Штепсельная гильза 6,3-4-CUSN6F48-SN3")</f>
        <v>Штепсельная гильза 6,3-4-CUSN6F48-SN3</v>
      </c>
      <c r="C1080" s="3" t="s">
        <v>8</v>
      </c>
      <c r="D1080" s="4">
        <v>376.8</v>
      </c>
      <c r="E1080" s="4">
        <v>78</v>
      </c>
      <c r="F1080" s="8">
        <v>0.79</v>
      </c>
      <c r="H1080" s="11"/>
      <c r="I1080" s="11"/>
      <c r="J1080" s="11"/>
    </row>
    <row r="1081" spans="1:10" ht="15.75" x14ac:dyDescent="0.3">
      <c r="A1081" s="13" t="str">
        <f>HYPERLINK("https://parts-sales.ru/parts/MAN/07912012613","07.91201-2613")</f>
        <v>07.91201-2613</v>
      </c>
      <c r="B1081" s="13" t="str">
        <f>HYPERLINK("https://parts-sales.ru/parts/MAN/07912012613","Штепсельная гильза 6,3-2,5-CUSN6F48-SN3")</f>
        <v>Штепсельная гильза 6,3-2,5-CUSN6F48-SN3</v>
      </c>
      <c r="C1081" s="5" t="s">
        <v>8</v>
      </c>
      <c r="D1081" s="6">
        <v>376.8</v>
      </c>
      <c r="E1081" s="6">
        <v>90</v>
      </c>
      <c r="F1081" s="9">
        <v>0.76</v>
      </c>
      <c r="H1081" s="11"/>
      <c r="I1081" s="11"/>
      <c r="J1081" s="11"/>
    </row>
    <row r="1082" spans="1:10" ht="15.75" x14ac:dyDescent="0.3">
      <c r="A1082" s="12" t="str">
        <f>HYPERLINK("https://parts-sales.ru/parts/MAN/07912012614","07.91201-2614")</f>
        <v>07.91201-2614</v>
      </c>
      <c r="B1082" s="12" t="str">
        <f>HYPERLINK("https://parts-sales.ru/parts/MAN/07912012614","Штепсельная гильза 6,3-6-CUSN6F48-SN3")</f>
        <v>Штепсельная гильза 6,3-6-CUSN6F48-SN3</v>
      </c>
      <c r="C1082" s="3" t="s">
        <v>8</v>
      </c>
      <c r="D1082" s="4">
        <v>529.20000000000005</v>
      </c>
      <c r="E1082" s="4">
        <v>47</v>
      </c>
      <c r="F1082" s="8">
        <v>0.91</v>
      </c>
      <c r="H1082" s="11"/>
      <c r="I1082" s="11"/>
      <c r="J1082" s="11"/>
    </row>
    <row r="1083" spans="1:10" ht="15.75" x14ac:dyDescent="0.3">
      <c r="A1083" s="13" t="str">
        <f>HYPERLINK("https://parts-sales.ru/parts/MAN/07912012827","07.91201-2827")</f>
        <v>07.91201-2827</v>
      </c>
      <c r="B1083" s="13" t="str">
        <f>HYPERLINK("https://parts-sales.ru/parts/MAN/07912012827","Контакт втулки 0,5-1,0-CU-LEG-SN")</f>
        <v>Контакт втулки 0,5-1,0-CU-LEG-SN</v>
      </c>
      <c r="C1083" s="5" t="s">
        <v>8</v>
      </c>
      <c r="D1083" s="6">
        <v>496.8</v>
      </c>
      <c r="E1083" s="6">
        <v>105</v>
      </c>
      <c r="F1083" s="9">
        <v>0.79</v>
      </c>
      <c r="H1083" s="11"/>
      <c r="I1083" s="11"/>
      <c r="J1083" s="11"/>
    </row>
    <row r="1084" spans="1:10" ht="15.75" x14ac:dyDescent="0.3">
      <c r="A1084" s="12" t="str">
        <f>HYPERLINK("https://parts-sales.ru/parts/MAN/07912013513","07.91201-3513")</f>
        <v>07.91201-3513</v>
      </c>
      <c r="B1084" s="12" t="str">
        <f>HYPERLINK("https://parts-sales.ru/parts/MAN/07912013513","Штепсельная гильза B7,7-2,5-BZ-S")</f>
        <v>Штепсельная гильза B7,7-2,5-BZ-S</v>
      </c>
      <c r="C1084" s="3" t="s">
        <v>8</v>
      </c>
      <c r="D1084" s="4">
        <v>980.4</v>
      </c>
      <c r="E1084" s="4">
        <v>148</v>
      </c>
      <c r="F1084" s="8">
        <v>0.85</v>
      </c>
      <c r="H1084" s="11"/>
      <c r="I1084" s="11"/>
      <c r="J1084" s="11"/>
    </row>
    <row r="1085" spans="1:10" ht="15.75" x14ac:dyDescent="0.3">
      <c r="A1085" s="13" t="str">
        <f>HYPERLINK("https://parts-sales.ru/parts/MAN/07912015127","07.91201-5127")</f>
        <v>07.91201-5127</v>
      </c>
      <c r="B1085" s="13" t="str">
        <f>HYPERLINK("https://parts-sales.ru/parts/MAN/07912015127","Наружный круглый штекер 4,0-2,5-CUZN-AG")</f>
        <v>Наружный круглый штекер 4,0-2,5-CUZN-AG</v>
      </c>
      <c r="C1085" s="5" t="s">
        <v>8</v>
      </c>
      <c r="D1085" s="6">
        <v>589.20000000000005</v>
      </c>
      <c r="E1085" s="6">
        <v>89</v>
      </c>
      <c r="F1085" s="9">
        <v>0.85</v>
      </c>
      <c r="H1085" s="11"/>
      <c r="I1085" s="11"/>
      <c r="J1085" s="11"/>
    </row>
    <row r="1086" spans="1:10" ht="15.75" x14ac:dyDescent="0.3">
      <c r="A1086" s="12" t="str">
        <f>HYPERLINK("https://parts-sales.ru/parts/MAN/07912016011","07.91201-6011")</f>
        <v>07.91201-6011</v>
      </c>
      <c r="B1086" s="12" t="str">
        <f>HYPERLINK("https://parts-sales.ru/parts/MAN/07912016011","Контакт втулки 1,5-1,0ST-CUNISI-AU")</f>
        <v>Контакт втулки 1,5-1,0ST-CUNISI-AU</v>
      </c>
      <c r="C1086" s="3" t="s">
        <v>8</v>
      </c>
      <c r="D1086" s="4">
        <v>1029.5999999999999</v>
      </c>
      <c r="E1086" s="4">
        <v>119</v>
      </c>
      <c r="F1086" s="8">
        <v>0.88</v>
      </c>
      <c r="H1086" s="11"/>
      <c r="I1086" s="11"/>
      <c r="J1086" s="11"/>
    </row>
    <row r="1087" spans="1:10" ht="15.75" x14ac:dyDescent="0.3">
      <c r="A1087" s="13" t="str">
        <f>HYPERLINK("https://parts-sales.ru/parts/MAN/07912016016","07.91201-6016")</f>
        <v>07.91201-6016</v>
      </c>
      <c r="B1087" s="13" t="str">
        <f>HYPERLINK("https://parts-sales.ru/parts/MAN/07912016016","Контакт втулки 1,2X1,5-CUSN-SN")</f>
        <v>Контакт втулки 1,2X1,5-CUSN-SN</v>
      </c>
      <c r="C1087" s="5" t="s">
        <v>8</v>
      </c>
      <c r="D1087" s="6">
        <v>523.20000000000005</v>
      </c>
      <c r="E1087" s="6">
        <v>101</v>
      </c>
      <c r="F1087" s="9">
        <v>0.81</v>
      </c>
      <c r="H1087" s="11"/>
      <c r="I1087" s="11"/>
      <c r="J1087" s="11"/>
    </row>
    <row r="1088" spans="1:10" ht="15.75" x14ac:dyDescent="0.3">
      <c r="A1088" s="12" t="str">
        <f>HYPERLINK("https://parts-sales.ru/parts/MAN/07912016020","07.91201-6020")</f>
        <v>07.91201-6020</v>
      </c>
      <c r="B1088" s="12" t="str">
        <f>HYPERLINK("https://parts-sales.ru/parts/MAN/07912016020","Штепсельная гильза  0,5-1,0  CUNISI-SN")</f>
        <v>Штепсельная гильза  0,5-1,0  CUNISI-SN</v>
      </c>
      <c r="C1088" s="3" t="s">
        <v>8</v>
      </c>
      <c r="D1088" s="4">
        <v>1038</v>
      </c>
      <c r="E1088" s="4">
        <v>685</v>
      </c>
      <c r="F1088" s="8">
        <v>0.34</v>
      </c>
      <c r="H1088" s="11"/>
      <c r="I1088" s="11"/>
      <c r="J1088" s="11"/>
    </row>
    <row r="1089" spans="1:10" ht="15.75" x14ac:dyDescent="0.3">
      <c r="A1089" s="13" t="str">
        <f>HYPERLINK("https://parts-sales.ru/parts/MAN/07912016025","07.91201-6025")</f>
        <v>07.91201-6025</v>
      </c>
      <c r="B1089" s="13" t="str">
        <f>HYPERLINK("https://parts-sales.ru/parts/MAN/07912016025","Штепсельная гильза 0,5-1,0  CUNISI-AG")</f>
        <v>Штепсельная гильза 0,5-1,0  CUNISI-AG</v>
      </c>
      <c r="C1089" s="5" t="s">
        <v>8</v>
      </c>
      <c r="D1089" s="6">
        <v>400.8</v>
      </c>
      <c r="E1089" s="6">
        <v>92</v>
      </c>
      <c r="F1089" s="9">
        <v>0.77</v>
      </c>
      <c r="H1089" s="11"/>
      <c r="I1089" s="11"/>
      <c r="J1089" s="11"/>
    </row>
    <row r="1090" spans="1:10" ht="15.75" x14ac:dyDescent="0.3">
      <c r="A1090" s="12" t="str">
        <f>HYPERLINK("https://parts-sales.ru/parts/MAN/07912016139","07.91201-6139")</f>
        <v>07.91201-6139</v>
      </c>
      <c r="B1090" s="12" t="str">
        <f>HYPERLINK("https://parts-sales.ru/parts/MAN/07912016139","Штепсельная гильза 0,2-0,35 CUNISI")</f>
        <v>Штепсельная гильза 0,2-0,35 CUNISI</v>
      </c>
      <c r="C1090" s="3" t="s">
        <v>8</v>
      </c>
      <c r="D1090" s="4">
        <v>192</v>
      </c>
      <c r="E1090" s="4">
        <v>39</v>
      </c>
      <c r="F1090" s="8">
        <v>0.8</v>
      </c>
      <c r="H1090" s="11"/>
      <c r="I1090" s="11"/>
      <c r="J1090" s="11"/>
    </row>
    <row r="1091" spans="1:10" ht="15.75" x14ac:dyDescent="0.3">
      <c r="A1091" s="13" t="str">
        <f>HYPERLINK("https://parts-sales.ru/parts/MAN/07912020619","07.91202-0619")</f>
        <v>07.91202-0619</v>
      </c>
      <c r="B1091" s="13" t="str">
        <f>HYPERLINK("https://parts-sales.ru/parts/MAN/07912020619","Плоский разъем 2,8-1,0/3,95X2,84ST-CUFE2")</f>
        <v>Плоский разъем 2,8-1,0/3,95X2,84ST-CUFE2</v>
      </c>
      <c r="C1091" s="5" t="s">
        <v>8</v>
      </c>
      <c r="D1091" s="6">
        <v>404.4</v>
      </c>
      <c r="E1091" s="6">
        <v>111</v>
      </c>
      <c r="F1091" s="9">
        <v>0.73</v>
      </c>
      <c r="H1091" s="11"/>
      <c r="I1091" s="11"/>
      <c r="J1091" s="11"/>
    </row>
    <row r="1092" spans="1:10" ht="15.75" x14ac:dyDescent="0.3">
      <c r="A1092" s="12" t="str">
        <f>HYPERLINK("https://parts-sales.ru/parts/MAN/07912020620","07.91202-0620")</f>
        <v>07.91202-0620</v>
      </c>
      <c r="B1092" s="12" t="str">
        <f>HYPERLINK("https://parts-sales.ru/parts/MAN/07912020620","Плоский разъем 2,8-2,5/3,95X2,84ST-CUFE2")</f>
        <v>Плоский разъем 2,8-2,5/3,95X2,84ST-CUFE2</v>
      </c>
      <c r="C1092" s="3" t="s">
        <v>8</v>
      </c>
      <c r="D1092" s="4">
        <v>285.60000000000002</v>
      </c>
      <c r="E1092" s="4">
        <v>57</v>
      </c>
      <c r="F1092" s="8">
        <v>0.8</v>
      </c>
      <c r="H1092" s="11"/>
      <c r="I1092" s="11"/>
      <c r="J1092" s="11"/>
    </row>
    <row r="1093" spans="1:10" ht="15.75" x14ac:dyDescent="0.3">
      <c r="A1093" s="13" t="str">
        <f>HYPERLINK("https://parts-sales.ru/parts/MAN/07912020668","07.91202-0668")</f>
        <v>07.91202-0668</v>
      </c>
      <c r="B1093" s="13" t="str">
        <f>HYPERLINK("https://parts-sales.ru/parts/MAN/07912020668","Плоский разъем 2,8-0,5/4,1X3,1-CUFE2P")</f>
        <v>Плоский разъем 2,8-0,5/4,1X3,1-CUFE2P</v>
      </c>
      <c r="C1093" s="5" t="s">
        <v>8</v>
      </c>
      <c r="D1093" s="6">
        <v>314.39999999999998</v>
      </c>
      <c r="E1093" s="6">
        <v>111</v>
      </c>
      <c r="F1093" s="9">
        <v>0.65</v>
      </c>
      <c r="H1093" s="11"/>
      <c r="I1093" s="11"/>
      <c r="J1093" s="11"/>
    </row>
    <row r="1094" spans="1:10" ht="15.75" x14ac:dyDescent="0.3">
      <c r="A1094" s="12" t="str">
        <f>HYPERLINK("https://parts-sales.ru/parts/MAN/07912020671","07.91202-0671")</f>
        <v>07.91202-0671</v>
      </c>
      <c r="B1094" s="12" t="str">
        <f>HYPERLINK("https://parts-sales.ru/parts/MAN/07912020671","Плоский разъем 0,50-1,0/2,8X0,8-CUFE2-AG")</f>
        <v>Плоский разъем 0,50-1,0/2,8X0,8-CUFE2-AG</v>
      </c>
      <c r="C1094" s="3" t="s">
        <v>8</v>
      </c>
      <c r="D1094" s="4">
        <v>320.39999999999998</v>
      </c>
      <c r="E1094" s="4">
        <v>64</v>
      </c>
      <c r="F1094" s="8">
        <v>0.8</v>
      </c>
      <c r="H1094" s="11"/>
      <c r="I1094" s="11"/>
      <c r="J1094" s="11"/>
    </row>
    <row r="1095" spans="1:10" ht="15.75" x14ac:dyDescent="0.3">
      <c r="A1095" s="13" t="str">
        <f>HYPERLINK("https://parts-sales.ru/parts/MAN/07912020805","07.91202-0805")</f>
        <v>07.91202-0805</v>
      </c>
      <c r="B1095" s="13" t="str">
        <f>HYPERLINK("https://parts-sales.ru/parts/MAN/07912020805","Плоский разъем A2,8X0,4-CUSN4F47-SN")</f>
        <v>Плоский разъем A2,8X0,4-CUSN4F47-SN</v>
      </c>
      <c r="C1095" s="5" t="s">
        <v>8</v>
      </c>
      <c r="D1095" s="6">
        <v>393.6</v>
      </c>
      <c r="E1095" s="6">
        <v>85</v>
      </c>
      <c r="F1095" s="9">
        <v>0.78</v>
      </c>
      <c r="H1095" s="11"/>
      <c r="I1095" s="11"/>
      <c r="J1095" s="11"/>
    </row>
    <row r="1096" spans="1:10" ht="15.75" x14ac:dyDescent="0.3">
      <c r="A1096" s="12" t="str">
        <f>HYPERLINK("https://parts-sales.ru/parts/MAN/07912020848","07.91202-0848")</f>
        <v>07.91202-0848</v>
      </c>
      <c r="B1096" s="12" t="str">
        <f>HYPERLINK("https://parts-sales.ru/parts/MAN/07912020848","Плоский разъем 2,8-1,0/4,1X3,1-CUFE2P")</f>
        <v>Плоский разъем 2,8-1,0/4,1X3,1-CUFE2P</v>
      </c>
      <c r="C1096" s="3" t="s">
        <v>8</v>
      </c>
      <c r="D1096" s="4">
        <v>104.4</v>
      </c>
      <c r="E1096" s="4">
        <v>42</v>
      </c>
      <c r="F1096" s="8">
        <v>0.6</v>
      </c>
      <c r="H1096" s="11"/>
      <c r="I1096" s="11"/>
      <c r="J1096" s="11"/>
    </row>
    <row r="1097" spans="1:10" ht="15.75" x14ac:dyDescent="0.3">
      <c r="A1097" s="13" t="str">
        <f>HYPERLINK("https://parts-sales.ru/parts/MAN/07912020849","07.91202-0849")</f>
        <v>07.91202-0849</v>
      </c>
      <c r="B1097" s="13" t="str">
        <f>HYPERLINK("https://parts-sales.ru/parts/MAN/07912020849","Плоский разъем 2,8-2,5/4,1X3,1-CUFE2P")</f>
        <v>Плоский разъем 2,8-2,5/4,1X3,1-CUFE2P</v>
      </c>
      <c r="C1097" s="5" t="s">
        <v>8</v>
      </c>
      <c r="D1097" s="6">
        <v>141.6</v>
      </c>
      <c r="E1097" s="6">
        <v>43</v>
      </c>
      <c r="F1097" s="9">
        <v>0.7</v>
      </c>
      <c r="H1097" s="11"/>
      <c r="I1097" s="11"/>
      <c r="J1097" s="11"/>
    </row>
    <row r="1098" spans="1:10" ht="15.75" x14ac:dyDescent="0.3">
      <c r="A1098" s="12" t="str">
        <f>HYPERLINK("https://parts-sales.ru/parts/MAN/07912020850","07.91202-0850")</f>
        <v>07.91202-0850</v>
      </c>
      <c r="B1098" s="12" t="str">
        <f>HYPERLINK("https://parts-sales.ru/parts/MAN/07912020850","Плоский разъем 2,8-1,0/4,1X3,1ST-CUFE2")</f>
        <v>Плоский разъем 2,8-1,0/4,1X3,1ST-CUFE2</v>
      </c>
      <c r="C1098" s="3" t="s">
        <v>8</v>
      </c>
      <c r="D1098" s="4">
        <v>559.20000000000005</v>
      </c>
      <c r="E1098" s="4">
        <v>73</v>
      </c>
      <c r="F1098" s="8">
        <v>0.87</v>
      </c>
      <c r="H1098" s="11"/>
      <c r="I1098" s="11"/>
      <c r="J1098" s="11"/>
    </row>
    <row r="1099" spans="1:10" ht="15.75" x14ac:dyDescent="0.3">
      <c r="A1099" s="13" t="str">
        <f>HYPERLINK("https://parts-sales.ru/parts/MAN/07912020851","07.91202-0851")</f>
        <v>07.91202-0851</v>
      </c>
      <c r="B1099" s="13" t="str">
        <f>HYPERLINK("https://parts-sales.ru/parts/MAN/07912020851","Плоский разъем 2,8-2,5/4,1X3,1ST-CUFE2")</f>
        <v>Плоский разъем 2,8-2,5/4,1X3,1ST-CUFE2</v>
      </c>
      <c r="C1099" s="5" t="s">
        <v>8</v>
      </c>
      <c r="D1099" s="6">
        <v>510</v>
      </c>
      <c r="E1099" s="6">
        <v>105</v>
      </c>
      <c r="F1099" s="9">
        <v>0.79</v>
      </c>
      <c r="H1099" s="11"/>
      <c r="I1099" s="11"/>
      <c r="J1099" s="11"/>
    </row>
    <row r="1100" spans="1:10" ht="15.75" x14ac:dyDescent="0.3">
      <c r="A1100" s="12" t="str">
        <f>HYPERLINK("https://parts-sales.ru/parts/MAN/07912021000","07.91202-1000")</f>
        <v>07.91202-1000</v>
      </c>
      <c r="B1100" s="12" t="str">
        <f>HYPERLINK("https://parts-sales.ru/parts/MAN/07912021000","Плоский разъем 1,6-1,5/2,6X2,2-CUSN4")</f>
        <v>Плоский разъем 1,6-1,5/2,6X2,2-CUSN4</v>
      </c>
      <c r="C1100" s="3" t="s">
        <v>8</v>
      </c>
      <c r="D1100" s="4">
        <v>522</v>
      </c>
      <c r="E1100" s="4">
        <v>343</v>
      </c>
      <c r="F1100" s="8">
        <v>0.34</v>
      </c>
      <c r="H1100" s="11"/>
      <c r="I1100" s="11"/>
      <c r="J1100" s="11"/>
    </row>
    <row r="1101" spans="1:10" ht="15.75" x14ac:dyDescent="0.3">
      <c r="A1101" s="13" t="str">
        <f>HYPERLINK("https://parts-sales.ru/parts/MAN/07912022619","07.91202-2619")</f>
        <v>07.91202-2619</v>
      </c>
      <c r="B1101" s="13" t="str">
        <f>HYPERLINK("https://parts-sales.ru/parts/MAN/07912022619","Плоский разъем B6,3-2,5-CUSN4F48-SN")</f>
        <v>Плоский разъем B6,3-2,5-CUSN4F48-SN</v>
      </c>
      <c r="C1101" s="5" t="s">
        <v>8</v>
      </c>
      <c r="D1101" s="6">
        <v>330</v>
      </c>
      <c r="E1101" s="6">
        <v>15</v>
      </c>
      <c r="F1101" s="9">
        <v>0.95</v>
      </c>
      <c r="H1101" s="11"/>
      <c r="I1101" s="11"/>
      <c r="J1101" s="11"/>
    </row>
    <row r="1102" spans="1:10" ht="15.75" x14ac:dyDescent="0.3">
      <c r="A1102" s="12" t="str">
        <f>HYPERLINK("https://parts-sales.ru/parts/MAN/07912022802","07.91202-2802")</f>
        <v>07.91202-2802</v>
      </c>
      <c r="B1102" s="12" t="str">
        <f>HYPERLINK("https://parts-sales.ru/parts/MAN/07912022802","Плоский разъем 6,3-1,0/7,5X3,3BD-CULEG-S")</f>
        <v>Плоский разъем 6,3-1,0/7,5X3,3BD-CULEG-S</v>
      </c>
      <c r="C1102" s="3" t="s">
        <v>8</v>
      </c>
      <c r="D1102" s="4">
        <v>300</v>
      </c>
      <c r="E1102" s="4">
        <v>49</v>
      </c>
      <c r="F1102" s="8">
        <v>0.84</v>
      </c>
      <c r="H1102" s="11"/>
      <c r="I1102" s="11"/>
      <c r="J1102" s="11"/>
    </row>
    <row r="1103" spans="1:10" ht="15.75" x14ac:dyDescent="0.3">
      <c r="A1103" s="13" t="str">
        <f>HYPERLINK("https://parts-sales.ru/parts/MAN/07912022809","07.91202-2809")</f>
        <v>07.91202-2809</v>
      </c>
      <c r="B1103" s="13" t="str">
        <f>HYPERLINK("https://parts-sales.ru/parts/MAN/07912022809","Плоский разъем B6,3-1,0-BZ-S")</f>
        <v>Плоский разъем B6,3-1,0-BZ-S</v>
      </c>
      <c r="C1103" s="5" t="s">
        <v>8</v>
      </c>
      <c r="D1103" s="6">
        <v>285.60000000000002</v>
      </c>
      <c r="E1103" s="6">
        <v>97</v>
      </c>
      <c r="F1103" s="9">
        <v>0.66</v>
      </c>
      <c r="H1103" s="11"/>
      <c r="I1103" s="11"/>
      <c r="J1103" s="11"/>
    </row>
    <row r="1104" spans="1:10" ht="15.75" x14ac:dyDescent="0.3">
      <c r="A1104" s="12" t="str">
        <f>HYPERLINK("https://parts-sales.ru/parts/MAN/07912030104","07.91203-0104")</f>
        <v>07.91203-0104</v>
      </c>
      <c r="B1104" s="12" t="str">
        <f>HYPERLINK("https://parts-sales.ru/parts/MAN/07912030104","Штепсельный мост длинный")</f>
        <v>Штепсельный мост длинный</v>
      </c>
      <c r="C1104" s="3" t="s">
        <v>8</v>
      </c>
      <c r="D1104" s="4">
        <v>748.8</v>
      </c>
      <c r="E1104" s="4">
        <v>184</v>
      </c>
      <c r="F1104" s="8">
        <v>0.75</v>
      </c>
      <c r="H1104" s="11"/>
      <c r="I1104" s="11"/>
      <c r="J1104" s="11"/>
    </row>
    <row r="1105" spans="1:10" ht="15.75" x14ac:dyDescent="0.3">
      <c r="A1105" s="13" t="str">
        <f>HYPERLINK("https://parts-sales.ru/parts/MAN/07912030105","07.91203-0105")</f>
        <v>07.91203-0105</v>
      </c>
      <c r="B1105" s="13" t="str">
        <f>HYPERLINK("https://parts-sales.ru/parts/MAN/07912030105","Штепсельный мост")</f>
        <v>Штепсельный мост</v>
      </c>
      <c r="C1105" s="5" t="s">
        <v>8</v>
      </c>
      <c r="D1105" s="6">
        <v>490.8</v>
      </c>
      <c r="E1105" s="6">
        <v>26</v>
      </c>
      <c r="F1105" s="9">
        <v>0.95</v>
      </c>
      <c r="H1105" s="11"/>
      <c r="I1105" s="11"/>
      <c r="J1105" s="11"/>
    </row>
    <row r="1106" spans="1:10" ht="15.75" x14ac:dyDescent="0.3">
      <c r="A1106" s="12" t="str">
        <f>HYPERLINK("https://parts-sales.ru/parts/MAN/07912110110","07.91211-0110")</f>
        <v>07.91211-0110</v>
      </c>
      <c r="B1106" s="12" t="str">
        <f>HYPERLINK("https://parts-sales.ru/parts/MAN/07912110110","Сжатый кабельный наконечник 6-2,5")</f>
        <v>Сжатый кабельный наконечник 6-2,5</v>
      </c>
      <c r="C1106" s="3" t="s">
        <v>8</v>
      </c>
      <c r="D1106" s="4">
        <v>950.4</v>
      </c>
      <c r="E1106" s="4">
        <v>412</v>
      </c>
      <c r="F1106" s="8">
        <v>0.56999999999999995</v>
      </c>
      <c r="H1106" s="11"/>
      <c r="I1106" s="11"/>
      <c r="J1106" s="11"/>
    </row>
    <row r="1107" spans="1:10" ht="15.75" x14ac:dyDescent="0.3">
      <c r="A1107" s="13" t="str">
        <f>HYPERLINK("https://parts-sales.ru/parts/MAN/07912110113","07.91211-0113")</f>
        <v>07.91211-0113</v>
      </c>
      <c r="B1107" s="13" t="str">
        <f>HYPERLINK("https://parts-sales.ru/parts/MAN/07912110113","Сжатый кабельный наконечник 8-6")</f>
        <v>Сжатый кабельный наконечник 8-6</v>
      </c>
      <c r="C1107" s="5" t="s">
        <v>8</v>
      </c>
      <c r="D1107" s="6">
        <v>938.4</v>
      </c>
      <c r="E1107" s="6">
        <v>55</v>
      </c>
      <c r="F1107" s="9">
        <v>0.94</v>
      </c>
      <c r="H1107" s="11"/>
      <c r="I1107" s="11"/>
      <c r="J1107" s="11"/>
    </row>
    <row r="1108" spans="1:10" ht="15.75" x14ac:dyDescent="0.3">
      <c r="A1108" s="12" t="str">
        <f>HYPERLINK("https://parts-sales.ru/parts/MAN/07912120109","07.91212-0109")</f>
        <v>07.91212-0109</v>
      </c>
      <c r="B1108" s="12" t="str">
        <f>HYPERLINK("https://parts-sales.ru/parts/MAN/07912120109","Кабельный наконечник 5-2,5")</f>
        <v>Кабельный наконечник 5-2,5</v>
      </c>
      <c r="C1108" s="3" t="s">
        <v>8</v>
      </c>
      <c r="D1108" s="4">
        <v>427.2</v>
      </c>
      <c r="E1108" s="4">
        <v>86</v>
      </c>
      <c r="F1108" s="8">
        <v>0.8</v>
      </c>
      <c r="H1108" s="11"/>
      <c r="I1108" s="11"/>
      <c r="J1108" s="11"/>
    </row>
    <row r="1109" spans="1:10" ht="15.75" x14ac:dyDescent="0.3">
      <c r="A1109" s="13" t="str">
        <f>HYPERLINK("https://parts-sales.ru/parts/MAN/07912120111","07.91212-0111")</f>
        <v>07.91212-0111</v>
      </c>
      <c r="B1109" s="13" t="str">
        <f>HYPERLINK("https://parts-sales.ru/parts/MAN/07912120111","Кабельный наконечник 8-2,5")</f>
        <v>Кабельный наконечник 8-2,5</v>
      </c>
      <c r="C1109" s="5" t="s">
        <v>8</v>
      </c>
      <c r="D1109" s="6">
        <v>333.6</v>
      </c>
      <c r="E1109" s="6">
        <v>110</v>
      </c>
      <c r="F1109" s="9">
        <v>0.67</v>
      </c>
      <c r="H1109" s="11"/>
      <c r="I1109" s="11"/>
      <c r="J1109" s="11"/>
    </row>
    <row r="1110" spans="1:10" ht="15.75" x14ac:dyDescent="0.3">
      <c r="A1110" s="12" t="str">
        <f>HYPERLINK("https://parts-sales.ru/parts/MAN/07912120120","07.91212-0120")</f>
        <v>07.91212-0120</v>
      </c>
      <c r="B1110" s="12" t="str">
        <f>HYPERLINK("https://parts-sales.ru/parts/MAN/07912120120","Кабельный наконечник 10-10")</f>
        <v>Кабельный наконечник 10-10</v>
      </c>
      <c r="C1110" s="3" t="s">
        <v>8</v>
      </c>
      <c r="D1110" s="4">
        <v>656.4</v>
      </c>
      <c r="E1110" s="4">
        <v>35</v>
      </c>
      <c r="F1110" s="8">
        <v>0.95</v>
      </c>
      <c r="H1110" s="11"/>
      <c r="I1110" s="11"/>
      <c r="J1110" s="11"/>
    </row>
    <row r="1111" spans="1:10" ht="15.75" x14ac:dyDescent="0.3">
      <c r="A1111" s="13" t="str">
        <f>HYPERLINK("https://parts-sales.ru/parts/MAN/07912120124","07.91212-0124")</f>
        <v>07.91212-0124</v>
      </c>
      <c r="B1111" s="13" t="str">
        <f>HYPERLINK("https://parts-sales.ru/parts/MAN/07912120124","Кабельный наконечник 8-16")</f>
        <v>Кабельный наконечник 8-16</v>
      </c>
      <c r="C1111" s="5" t="s">
        <v>8</v>
      </c>
      <c r="D1111" s="6">
        <v>685.2</v>
      </c>
      <c r="E1111" s="6">
        <v>277</v>
      </c>
      <c r="F1111" s="9">
        <v>0.6</v>
      </c>
      <c r="H1111" s="11"/>
      <c r="I1111" s="11"/>
      <c r="J1111" s="11"/>
    </row>
    <row r="1112" spans="1:10" ht="15.75" x14ac:dyDescent="0.3">
      <c r="A1112" s="12" t="str">
        <f>HYPERLINK("https://parts-sales.ru/parts/MAN/07912120125","07.91212-0125")</f>
        <v>07.91212-0125</v>
      </c>
      <c r="B1112" s="12" t="str">
        <f>HYPERLINK("https://parts-sales.ru/parts/MAN/07912120125","Кабельный наконечник 10-16")</f>
        <v>Кабельный наконечник 10-16</v>
      </c>
      <c r="C1112" s="3" t="s">
        <v>8</v>
      </c>
      <c r="D1112" s="4">
        <v>760.8</v>
      </c>
      <c r="E1112" s="4">
        <v>52</v>
      </c>
      <c r="F1112" s="8">
        <v>0.93</v>
      </c>
      <c r="H1112" s="11"/>
      <c r="I1112" s="11"/>
      <c r="J1112" s="11"/>
    </row>
    <row r="1113" spans="1:10" ht="15.75" x14ac:dyDescent="0.3">
      <c r="A1113" s="13" t="str">
        <f>HYPERLINK("https://parts-sales.ru/parts/MAN/07912120181","07.91212-0181")</f>
        <v>07.91212-0181</v>
      </c>
      <c r="B1113" s="13" t="str">
        <f>HYPERLINK("https://parts-sales.ru/parts/MAN/07912120181","Кабельный наконечник 6-1-E-CUF20-GALSN3")</f>
        <v>Кабельный наконечник 6-1-E-CUF20-GALSN3</v>
      </c>
      <c r="C1113" s="5" t="s">
        <v>8</v>
      </c>
      <c r="D1113" s="6">
        <v>405.6</v>
      </c>
      <c r="E1113" s="6">
        <v>80</v>
      </c>
      <c r="F1113" s="9">
        <v>0.8</v>
      </c>
      <c r="H1113" s="11"/>
      <c r="I1113" s="11"/>
      <c r="J1113" s="11"/>
    </row>
    <row r="1114" spans="1:10" ht="15.75" x14ac:dyDescent="0.3">
      <c r="A1114" s="12" t="str">
        <f>HYPERLINK("https://parts-sales.ru/parts/MAN/07912120502","07.91212-0502")</f>
        <v>07.91212-0502</v>
      </c>
      <c r="B1114" s="12" t="str">
        <f>HYPERLINK("https://parts-sales.ru/parts/MAN/07912120502","Кабельный наконечник 12-2,5-E-CUF20-GALS")</f>
        <v>Кабельный наконечник 12-2,5-E-CUF20-GALS</v>
      </c>
      <c r="C1114" s="3" t="s">
        <v>8</v>
      </c>
      <c r="D1114" s="4">
        <v>616.79999999999995</v>
      </c>
      <c r="E1114" s="4">
        <v>105</v>
      </c>
      <c r="F1114" s="8">
        <v>0.83</v>
      </c>
      <c r="H1114" s="11"/>
      <c r="I1114" s="11"/>
      <c r="J1114" s="11"/>
    </row>
    <row r="1115" spans="1:10" ht="15.75" x14ac:dyDescent="0.3">
      <c r="A1115" s="13" t="str">
        <f>HYPERLINK("https://parts-sales.ru/parts/MAN/07912120606","07.91212-0606")</f>
        <v>07.91212-0606</v>
      </c>
      <c r="B1115" s="13" t="str">
        <f>HYPERLINK("https://parts-sales.ru/parts/MAN/07912120606","Кабельный наконечник A12-95-E-CU-SN3")</f>
        <v>Кабельный наконечник A12-95-E-CU-SN3</v>
      </c>
      <c r="C1115" s="5" t="s">
        <v>8</v>
      </c>
      <c r="D1115" s="6">
        <v>2576.4</v>
      </c>
      <c r="E1115" s="6">
        <v>113</v>
      </c>
      <c r="F1115" s="9">
        <v>0.96</v>
      </c>
      <c r="H1115" s="11"/>
      <c r="I1115" s="11"/>
      <c r="J1115" s="11"/>
    </row>
    <row r="1116" spans="1:10" ht="15.75" x14ac:dyDescent="0.3">
      <c r="A1116" s="12" t="str">
        <f>HYPERLINK("https://parts-sales.ru/parts/MAN/07912131107","07.91213-1107")</f>
        <v>07.91213-1107</v>
      </c>
      <c r="B1116" s="12" t="str">
        <f>HYPERLINK("https://parts-sales.ru/parts/MAN/07912131107","Обжатый наконечник провода A8-1BD-CUSN6F")</f>
        <v>Обжатый наконечник провода A8-1BD-CUSN6F</v>
      </c>
      <c r="C1116" s="3" t="s">
        <v>8</v>
      </c>
      <c r="D1116" s="4">
        <v>294</v>
      </c>
      <c r="E1116" s="4">
        <v>64</v>
      </c>
      <c r="F1116" s="8">
        <v>0.78</v>
      </c>
      <c r="H1116" s="11"/>
      <c r="I1116" s="11"/>
      <c r="J1116" s="11"/>
    </row>
    <row r="1117" spans="1:10" ht="15.75" x14ac:dyDescent="0.3">
      <c r="A1117" s="13" t="str">
        <f>HYPERLINK("https://parts-sales.ru/parts/MAN/07912131151","07.91213-1151")</f>
        <v>07.91213-1151</v>
      </c>
      <c r="B1117" s="13" t="str">
        <f>HYPERLINK("https://parts-sales.ru/parts/MAN/07912131151","Обжатый наконечник провода A10-2,5BD-CUS")</f>
        <v>Обжатый наконечник провода A10-2,5BD-CUS</v>
      </c>
      <c r="C1117" s="5" t="s">
        <v>8</v>
      </c>
      <c r="D1117" s="6">
        <v>424.74</v>
      </c>
      <c r="E1117" s="6">
        <v>65</v>
      </c>
      <c r="F1117" s="9">
        <v>0.85</v>
      </c>
      <c r="H1117" s="11"/>
      <c r="I1117" s="11"/>
      <c r="J1117" s="11"/>
    </row>
    <row r="1118" spans="1:10" ht="15.75" x14ac:dyDescent="0.3">
      <c r="A1118" s="12" t="str">
        <f>HYPERLINK("https://parts-sales.ru/parts/MAN/07912131352","07.91213-1352")</f>
        <v>07.91213-1352</v>
      </c>
      <c r="B1118" s="12" t="str">
        <f>HYPERLINK("https://parts-sales.ru/parts/MAN/07912131352","Обжатый наконечник провода M5-2,5-CUSN6F")</f>
        <v>Обжатый наконечник провода M5-2,5-CUSN6F</v>
      </c>
      <c r="C1118" s="3" t="s">
        <v>8</v>
      </c>
      <c r="D1118" s="4">
        <v>1105.2</v>
      </c>
      <c r="E1118" s="4">
        <v>229</v>
      </c>
      <c r="F1118" s="8">
        <v>0.79</v>
      </c>
      <c r="H1118" s="11"/>
      <c r="I1118" s="11"/>
      <c r="J1118" s="11"/>
    </row>
    <row r="1119" spans="1:10" ht="15.75" x14ac:dyDescent="0.3">
      <c r="A1119" s="13" t="str">
        <f>HYPERLINK("https://parts-sales.ru/parts/MAN/07912131355","07.91213-1355")</f>
        <v>07.91213-1355</v>
      </c>
      <c r="B1119" s="13" t="str">
        <f>HYPERLINK("https://parts-sales.ru/parts/MAN/07912131355","Обжатый наконечник провода M8-10-CUSN6F4")</f>
        <v>Обжатый наконечник провода M8-10-CUSN6F4</v>
      </c>
      <c r="C1119" s="5" t="s">
        <v>8</v>
      </c>
      <c r="D1119" s="6">
        <v>946.8</v>
      </c>
      <c r="E1119" s="6">
        <v>206</v>
      </c>
      <c r="F1119" s="9">
        <v>0.78</v>
      </c>
      <c r="H1119" s="11"/>
      <c r="I1119" s="11"/>
      <c r="J1119" s="11"/>
    </row>
    <row r="1120" spans="1:10" ht="15.75" x14ac:dyDescent="0.3">
      <c r="A1120" s="12" t="str">
        <f>HYPERLINK("https://parts-sales.ru/parts/MAN/07912131361","07.91213-1361")</f>
        <v>07.91213-1361</v>
      </c>
      <c r="B1120" s="12" t="str">
        <f>HYPERLINK("https://parts-sales.ru/parts/MAN/07912131361","Обжатый наконечник провода M6-16-CUZN30F")</f>
        <v>Обжатый наконечник провода M6-16-CUZN30F</v>
      </c>
      <c r="C1120" s="3" t="s">
        <v>8</v>
      </c>
      <c r="D1120" s="4">
        <v>574.79999999999995</v>
      </c>
      <c r="E1120" s="4">
        <v>148</v>
      </c>
      <c r="F1120" s="8">
        <v>0.74</v>
      </c>
      <c r="H1120" s="11"/>
      <c r="I1120" s="11"/>
      <c r="J1120" s="11"/>
    </row>
    <row r="1121" spans="1:10" ht="15.75" x14ac:dyDescent="0.3">
      <c r="A1121" s="13" t="str">
        <f>HYPERLINK("https://parts-sales.ru/parts/MAN/07912131454","07.91213-1454")</f>
        <v>07.91213-1454</v>
      </c>
      <c r="B1121" s="13" t="str">
        <f>HYPERLINK("https://parts-sales.ru/parts/MAN/07912131454","Обжатый наконечник провода M6-10BD-CUSN6")</f>
        <v>Обжатый наконечник провода M6-10BD-CUSN6</v>
      </c>
      <c r="C1121" s="5" t="s">
        <v>8</v>
      </c>
      <c r="D1121" s="6">
        <v>968.4</v>
      </c>
      <c r="E1121" s="6">
        <v>254</v>
      </c>
      <c r="F1121" s="9">
        <v>0.74</v>
      </c>
      <c r="H1121" s="11"/>
      <c r="I1121" s="11"/>
      <c r="J1121" s="11"/>
    </row>
    <row r="1122" spans="1:10" ht="15.75" x14ac:dyDescent="0.3">
      <c r="A1122" s="12" t="str">
        <f>HYPERLINK("https://parts-sales.ru/parts/MAN/07912132110","07.91213-2110")</f>
        <v>07.91213-2110</v>
      </c>
      <c r="B1122" s="12" t="str">
        <f>HYPERLINK("https://parts-sales.ru/parts/MAN/07912132110","Обжатый наконечник провода A6-2,5-CUSN6F")</f>
        <v>Обжатый наконечник провода A6-2,5-CUSN6F</v>
      </c>
      <c r="C1122" s="3" t="s">
        <v>8</v>
      </c>
      <c r="D1122" s="4">
        <v>295.26</v>
      </c>
      <c r="E1122" s="4">
        <v>150</v>
      </c>
      <c r="F1122" s="8">
        <v>0.49</v>
      </c>
      <c r="H1122" s="11"/>
      <c r="I1122" s="11"/>
      <c r="J1122" s="11"/>
    </row>
    <row r="1123" spans="1:10" ht="15.75" x14ac:dyDescent="0.3">
      <c r="A1123" s="13" t="str">
        <f>HYPERLINK("https://parts-sales.ru/parts/MAN/07912132114","07.91213-2114")</f>
        <v>07.91213-2114</v>
      </c>
      <c r="B1123" s="13" t="str">
        <f>HYPERLINK("https://parts-sales.ru/parts/MAN/07912132114","Обжатый наконечник провода A6-6-CUSN6F41")</f>
        <v>Обжатый наконечник провода A6-6-CUSN6F41</v>
      </c>
      <c r="C1123" s="5" t="s">
        <v>8</v>
      </c>
      <c r="D1123" s="6">
        <v>385.2</v>
      </c>
      <c r="E1123" s="6">
        <v>89</v>
      </c>
      <c r="F1123" s="9">
        <v>0.77</v>
      </c>
      <c r="H1123" s="11"/>
      <c r="I1123" s="11"/>
      <c r="J1123" s="11"/>
    </row>
    <row r="1124" spans="1:10" ht="15.75" x14ac:dyDescent="0.3">
      <c r="A1124" s="12" t="str">
        <f>HYPERLINK("https://parts-sales.ru/parts/MAN/07912132150","07.91213-2150")</f>
        <v>07.91213-2150</v>
      </c>
      <c r="B1124" s="12" t="str">
        <f>HYPERLINK("https://parts-sales.ru/parts/MAN/07912132150","Обжатый наконечник провода A10-1-CUSN6F4")</f>
        <v>Обжатый наконечник провода A10-1-CUSN6F4</v>
      </c>
      <c r="C1124" s="3" t="s">
        <v>8</v>
      </c>
      <c r="D1124" s="4">
        <v>337.9</v>
      </c>
      <c r="E1124" s="4">
        <v>59</v>
      </c>
      <c r="F1124" s="8">
        <v>0.83</v>
      </c>
      <c r="H1124" s="11"/>
      <c r="I1124" s="11"/>
      <c r="J1124" s="11"/>
    </row>
    <row r="1125" spans="1:10" ht="15.75" x14ac:dyDescent="0.3">
      <c r="A1125" s="13" t="str">
        <f>HYPERLINK("https://parts-sales.ru/parts/MAN/07912140112","07.91214-0112")</f>
        <v>07.91214-0112</v>
      </c>
      <c r="B1125" s="13" t="str">
        <f>HYPERLINK("https://parts-sales.ru/parts/MAN/07912140112","Кабельный наконечник A6X3,4")</f>
        <v>Кабельный наконечник A6X3,4</v>
      </c>
      <c r="C1125" s="5" t="s">
        <v>8</v>
      </c>
      <c r="D1125" s="6">
        <v>163.19999999999999</v>
      </c>
      <c r="E1125" s="6">
        <v>21</v>
      </c>
      <c r="F1125" s="9">
        <v>0.87</v>
      </c>
      <c r="H1125" s="11"/>
      <c r="I1125" s="11"/>
      <c r="J1125" s="11"/>
    </row>
    <row r="1126" spans="1:10" ht="15.75" x14ac:dyDescent="0.3">
      <c r="A1126" s="12" t="str">
        <f>HYPERLINK("https://parts-sales.ru/parts/MAN/07912160002","07.91216-0002")</f>
        <v>07.91216-0002</v>
      </c>
      <c r="B1126" s="12" t="str">
        <f>HYPERLINK("https://parts-sales.ru/parts/MAN/07912160002","Наружный круглый штекер 1,6  0,5-1,5")</f>
        <v>Наружный круглый штекер 1,6  0,5-1,5</v>
      </c>
      <c r="C1126" s="3" t="s">
        <v>8</v>
      </c>
      <c r="D1126" s="4">
        <v>628.79999999999995</v>
      </c>
      <c r="E1126" s="4">
        <v>125</v>
      </c>
      <c r="F1126" s="8">
        <v>0.8</v>
      </c>
      <c r="H1126" s="11"/>
      <c r="I1126" s="11"/>
      <c r="J1126" s="11"/>
    </row>
    <row r="1127" spans="1:10" ht="15.75" x14ac:dyDescent="0.3">
      <c r="A1127" s="13" t="str">
        <f>HYPERLINK("https://parts-sales.ru/parts/MAN/07912160032","07.91216-0032")</f>
        <v>07.91216-0032</v>
      </c>
      <c r="B1127" s="13" t="str">
        <f>HYPERLINK("https://parts-sales.ru/parts/MAN/07912160032","Круглый штекер 1,6-1,0-CUSN-SN")</f>
        <v>Круглый штекер 1,6-1,0-CUSN-SN</v>
      </c>
      <c r="C1127" s="5" t="s">
        <v>8</v>
      </c>
      <c r="D1127" s="6">
        <v>427.2</v>
      </c>
      <c r="E1127" s="6">
        <v>13</v>
      </c>
      <c r="F1127" s="9">
        <v>0.97</v>
      </c>
      <c r="H1127" s="11"/>
      <c r="I1127" s="11"/>
      <c r="J1127" s="11"/>
    </row>
    <row r="1128" spans="1:10" ht="15.75" x14ac:dyDescent="0.3">
      <c r="A1128" s="12" t="str">
        <f>HYPERLINK("https://parts-sales.ru/parts/MAN/07912160035","07.91216-0035")</f>
        <v>07.91216-0035</v>
      </c>
      <c r="B1128" s="12" t="str">
        <f>HYPERLINK("https://parts-sales.ru/parts/MAN/07912160035","Наружный круглый штекер 1,6-2,5-CUSN-SN")</f>
        <v>Наружный круглый штекер 1,6-2,5-CUSN-SN</v>
      </c>
      <c r="C1128" s="3" t="s">
        <v>8</v>
      </c>
      <c r="D1128" s="4">
        <v>427.2</v>
      </c>
      <c r="E1128" s="4">
        <v>19</v>
      </c>
      <c r="F1128" s="8">
        <v>0.96</v>
      </c>
      <c r="H1128" s="11"/>
      <c r="I1128" s="11"/>
      <c r="J1128" s="11"/>
    </row>
    <row r="1129" spans="1:10" ht="15.75" x14ac:dyDescent="0.3">
      <c r="A1129" s="13" t="str">
        <f>HYPERLINK("https://parts-sales.ru/parts/MAN/07912160037","07.91216-0037")</f>
        <v>07.91216-0037</v>
      </c>
      <c r="B1129" s="13" t="str">
        <f>HYPERLINK("https://parts-sales.ru/parts/MAN/07912160037","Наружный круглый штекер 1,6-1,0-CUSN-SN")</f>
        <v>Наружный круглый штекер 1,6-1,0-CUSN-SN</v>
      </c>
      <c r="C1129" s="5" t="s">
        <v>8</v>
      </c>
      <c r="D1129" s="6">
        <v>427.2</v>
      </c>
      <c r="E1129" s="6">
        <v>83</v>
      </c>
      <c r="F1129" s="9">
        <v>0.81</v>
      </c>
      <c r="H1129" s="11"/>
      <c r="I1129" s="11"/>
      <c r="J1129" s="11"/>
    </row>
    <row r="1130" spans="1:10" ht="15.75" x14ac:dyDescent="0.3">
      <c r="A1130" s="12" t="str">
        <f>HYPERLINK("https://parts-sales.ru/parts/MAN/07912160066","07.91216-0066")</f>
        <v>07.91216-0066</v>
      </c>
      <c r="B1130" s="12" t="str">
        <f>HYPERLINK("https://parts-sales.ru/parts/MAN/07912160066","Наружный круглый штекер 3,5-6,0-CUCRTISI")</f>
        <v>Наружный круглый штекер 3,5-6,0-CUCRTISI</v>
      </c>
      <c r="C1130" s="3" t="s">
        <v>8</v>
      </c>
      <c r="D1130" s="4">
        <v>368.4</v>
      </c>
      <c r="E1130" s="4">
        <v>33</v>
      </c>
      <c r="F1130" s="8">
        <v>0.91</v>
      </c>
      <c r="H1130" s="11"/>
      <c r="I1130" s="11"/>
      <c r="J1130" s="11"/>
    </row>
    <row r="1131" spans="1:10" ht="15.75" x14ac:dyDescent="0.3">
      <c r="A1131" s="13" t="str">
        <f>HYPERLINK("https://parts-sales.ru/parts/MAN/07912160067","07.91216-0067")</f>
        <v>07.91216-0067</v>
      </c>
      <c r="B1131" s="13" t="str">
        <f>HYPERLINK("https://parts-sales.ru/parts/MAN/07912160067","Наружный круглый штекер 4,0-2,5-CUSN6-AG")</f>
        <v>Наружный круглый штекер 4,0-2,5-CUSN6-AG</v>
      </c>
      <c r="C1131" s="5" t="s">
        <v>8</v>
      </c>
      <c r="D1131" s="6">
        <v>1638</v>
      </c>
      <c r="E1131" s="6">
        <v>247</v>
      </c>
      <c r="F1131" s="9">
        <v>0.85</v>
      </c>
      <c r="H1131" s="11"/>
      <c r="I1131" s="11"/>
      <c r="J1131" s="11"/>
    </row>
    <row r="1132" spans="1:10" ht="15.75" x14ac:dyDescent="0.3">
      <c r="A1132" s="12" t="str">
        <f>HYPERLINK("https://parts-sales.ru/parts/MAN/07912160080","07.91216-0080")</f>
        <v>07.91216-0080</v>
      </c>
      <c r="B1132" s="12" t="str">
        <f>HYPERLINK("https://parts-sales.ru/parts/MAN/07912160080","Круглый штекер 4,0-2,5ST-CUNIZN")</f>
        <v>Круглый штекер 4,0-2,5ST-CUNIZN</v>
      </c>
      <c r="C1132" s="3" t="s">
        <v>8</v>
      </c>
      <c r="D1132" s="4">
        <v>969.6</v>
      </c>
      <c r="E1132" s="4">
        <v>218</v>
      </c>
      <c r="F1132" s="8">
        <v>0.78</v>
      </c>
      <c r="H1132" s="11"/>
      <c r="I1132" s="11"/>
      <c r="J1132" s="11"/>
    </row>
    <row r="1133" spans="1:10" ht="15.75" x14ac:dyDescent="0.3">
      <c r="A1133" s="13" t="str">
        <f>HYPERLINK("https://parts-sales.ru/parts/MAN/07912160101","07.91216-0101")</f>
        <v>07.91216-0101</v>
      </c>
      <c r="B1133" s="13" t="str">
        <f>HYPERLINK("https://parts-sales.ru/parts/MAN/07912160101","Круглый штекер 1,6-1,0ST-CUSN-SN")</f>
        <v>Круглый штекер 1,6-1,0ST-CUSN-SN</v>
      </c>
      <c r="C1133" s="5" t="s">
        <v>8</v>
      </c>
      <c r="D1133" s="6">
        <v>368.4</v>
      </c>
      <c r="E1133" s="6">
        <v>41</v>
      </c>
      <c r="F1133" s="9">
        <v>0.89</v>
      </c>
      <c r="H1133" s="11"/>
      <c r="I1133" s="11"/>
      <c r="J1133" s="11"/>
    </row>
    <row r="1134" spans="1:10" ht="15.75" x14ac:dyDescent="0.3">
      <c r="A1134" s="12" t="str">
        <f>HYPERLINK("https://parts-sales.ru/parts/MAN/07912160106","07.91216-0106")</f>
        <v>07.91216-0106</v>
      </c>
      <c r="B1134" s="12" t="str">
        <f>HYPERLINK("https://parts-sales.ru/parts/MAN/07912160106","Круглый штекер 2,5-2,5ST-CUSN-SN")</f>
        <v>Круглый штекер 2,5-2,5ST-CUSN-SN</v>
      </c>
      <c r="C1134" s="3" t="s">
        <v>8</v>
      </c>
      <c r="D1134" s="4">
        <v>427.2</v>
      </c>
      <c r="E1134" s="4">
        <v>65</v>
      </c>
      <c r="F1134" s="8">
        <v>0.85</v>
      </c>
      <c r="H1134" s="11"/>
      <c r="I1134" s="11"/>
      <c r="J1134" s="11"/>
    </row>
    <row r="1135" spans="1:10" ht="15.75" x14ac:dyDescent="0.3">
      <c r="A1135" s="13" t="str">
        <f>HYPERLINK("https://parts-sales.ru/parts/MAN/07912160114","07.91216-0114")</f>
        <v>07.91216-0114</v>
      </c>
      <c r="B1135" s="13" t="str">
        <f>HYPERLINK("https://parts-sales.ru/parts/MAN/07912160114","Наружный круглый штекер 2,82-1,0-CUZN-NI")</f>
        <v>Наружный круглый штекер 2,82-1,0-CUZN-NI</v>
      </c>
      <c r="C1135" s="5" t="s">
        <v>8</v>
      </c>
      <c r="D1135" s="6">
        <v>320.39999999999998</v>
      </c>
      <c r="E1135" s="6">
        <v>84</v>
      </c>
      <c r="F1135" s="9">
        <v>0.74</v>
      </c>
      <c r="H1135" s="11"/>
      <c r="I1135" s="11"/>
      <c r="J1135" s="11"/>
    </row>
    <row r="1136" spans="1:10" ht="15.75" x14ac:dyDescent="0.3">
      <c r="A1136" s="12" t="str">
        <f>HYPERLINK("https://parts-sales.ru/parts/MAN/07912160152","07.91216-0152")</f>
        <v>07.91216-0152</v>
      </c>
      <c r="B1136" s="12" t="str">
        <f>HYPERLINK("https://parts-sales.ru/parts/MAN/07912160152","Наружный круглый штекер 1,6-2,5ST-CUSN-S")</f>
        <v>Наружный круглый штекер 1,6-2,5ST-CUSN-S</v>
      </c>
      <c r="C1136" s="3" t="s">
        <v>8</v>
      </c>
      <c r="D1136" s="4">
        <v>427.2</v>
      </c>
      <c r="E1136" s="4">
        <v>45</v>
      </c>
      <c r="F1136" s="8">
        <v>0.89</v>
      </c>
      <c r="H1136" s="11"/>
      <c r="I1136" s="11"/>
      <c r="J1136" s="11"/>
    </row>
    <row r="1137" spans="1:10" ht="15.75" x14ac:dyDescent="0.3">
      <c r="A1137" s="13" t="str">
        <f>HYPERLINK("https://parts-sales.ru/parts/MAN/07912160160","07.91216-0160")</f>
        <v>07.91216-0160</v>
      </c>
      <c r="B1137" s="13" t="str">
        <f>HYPERLINK("https://parts-sales.ru/parts/MAN/07912160160","Наружный круглый штекер 3,5-1,0ST-CUSN-S")</f>
        <v>Наружный круглый штекер 3,5-1,0ST-CUSN-S</v>
      </c>
      <c r="C1137" s="5" t="s">
        <v>8</v>
      </c>
      <c r="D1137" s="6">
        <v>132</v>
      </c>
      <c r="E1137" s="6">
        <v>32</v>
      </c>
      <c r="F1137" s="9">
        <v>0.76</v>
      </c>
      <c r="H1137" s="11"/>
      <c r="I1137" s="11"/>
      <c r="J1137" s="11"/>
    </row>
    <row r="1138" spans="1:10" ht="15.75" x14ac:dyDescent="0.3">
      <c r="A1138" s="12" t="str">
        <f>HYPERLINK("https://parts-sales.ru/parts/MAN/07912160162","07.91216-0162")</f>
        <v>07.91216-0162</v>
      </c>
      <c r="B1138" s="12" t="str">
        <f>HYPERLINK("https://parts-sales.ru/parts/MAN/07912160162","Наружный круглый штекер 2,5-1,0ST-CUNISI")</f>
        <v>Наружный круглый штекер 2,5-1,0ST-CUNISI</v>
      </c>
      <c r="C1138" s="3" t="s">
        <v>8</v>
      </c>
      <c r="D1138" s="4">
        <v>591.6</v>
      </c>
      <c r="E1138" s="4">
        <v>134</v>
      </c>
      <c r="F1138" s="8">
        <v>0.77</v>
      </c>
      <c r="H1138" s="11"/>
      <c r="I1138" s="11"/>
      <c r="J1138" s="11"/>
    </row>
    <row r="1139" spans="1:10" ht="15.75" x14ac:dyDescent="0.3">
      <c r="A1139" s="13" t="str">
        <f>HYPERLINK("https://parts-sales.ru/parts/MAN/07912160216","07.91216-0216")</f>
        <v>07.91216-0216</v>
      </c>
      <c r="B1139" s="13" t="str">
        <f>HYPERLINK("https://parts-sales.ru/parts/MAN/07912160216","Контакт втулки 20-24-BZSN")</f>
        <v>Контакт втулки 20-24-BZSN</v>
      </c>
      <c r="C1139" s="5" t="s">
        <v>8</v>
      </c>
      <c r="D1139" s="6">
        <v>589.20000000000005</v>
      </c>
      <c r="E1139" s="6">
        <v>98</v>
      </c>
      <c r="F1139" s="9">
        <v>0.83</v>
      </c>
      <c r="H1139" s="11"/>
      <c r="I1139" s="11"/>
      <c r="J1139" s="11"/>
    </row>
    <row r="1140" spans="1:10" ht="15.75" x14ac:dyDescent="0.3">
      <c r="A1140" s="12" t="str">
        <f>HYPERLINK("https://parts-sales.ru/parts/MAN/07912160225","07.91216-0225")</f>
        <v>07.91216-0225</v>
      </c>
      <c r="B1140" s="12" t="str">
        <f>HYPERLINK("https://parts-sales.ru/parts/MAN/07912160225","Пружинящая контакт-деталь 2,5-0,3/5,4X4,")</f>
        <v>Пружинящая контакт-деталь 2,5-0,3/5,4X4,</v>
      </c>
      <c r="C1140" s="3" t="s">
        <v>8</v>
      </c>
      <c r="D1140" s="4">
        <v>519.6</v>
      </c>
      <c r="E1140" s="4">
        <v>51</v>
      </c>
      <c r="F1140" s="8">
        <v>0.9</v>
      </c>
      <c r="H1140" s="11"/>
      <c r="I1140" s="11"/>
      <c r="J1140" s="11"/>
    </row>
    <row r="1141" spans="1:10" ht="15.75" x14ac:dyDescent="0.3">
      <c r="A1141" s="13" t="str">
        <f>HYPERLINK("https://parts-sales.ru/parts/MAN/07912160260","07.91216-0260")</f>
        <v>07.91216-0260</v>
      </c>
      <c r="B1141" s="13" t="str">
        <f>HYPERLINK("https://parts-sales.ru/parts/MAN/07912160260","Наружный круглый штекер 3,5-1,0BD-ST-CUS")</f>
        <v>Наружный круглый штекер 3,5-1,0BD-ST-CUS</v>
      </c>
      <c r="C1141" s="5" t="s">
        <v>8</v>
      </c>
      <c r="D1141" s="6">
        <v>427.2</v>
      </c>
      <c r="E1141" s="6">
        <v>85</v>
      </c>
      <c r="F1141" s="9">
        <v>0.8</v>
      </c>
      <c r="H1141" s="11"/>
      <c r="I1141" s="11"/>
      <c r="J1141" s="11"/>
    </row>
    <row r="1142" spans="1:10" ht="15.75" x14ac:dyDescent="0.3">
      <c r="A1142" s="12" t="str">
        <f>HYPERLINK("https://parts-sales.ru/parts/MAN/07912160261","07.91216-0261")</f>
        <v>07.91216-0261</v>
      </c>
      <c r="B1142" s="12" t="str">
        <f>HYPERLINK("https://parts-sales.ru/parts/MAN/07912160261","Наружный круглый штекер 3,5-2,5BD-ST-CUS")</f>
        <v>Наружный круглый штекер 3,5-2,5BD-ST-CUS</v>
      </c>
      <c r="C1142" s="3" t="s">
        <v>8</v>
      </c>
      <c r="D1142" s="4">
        <v>368.4</v>
      </c>
      <c r="E1142" s="4">
        <v>86</v>
      </c>
      <c r="F1142" s="8">
        <v>0.77</v>
      </c>
      <c r="H1142" s="11"/>
      <c r="I1142" s="11"/>
      <c r="J1142" s="11"/>
    </row>
    <row r="1143" spans="1:10" ht="15.75" x14ac:dyDescent="0.3">
      <c r="A1143" s="13" t="str">
        <f>HYPERLINK("https://parts-sales.ru/parts/MAN/07912160429","07.91216-0429")</f>
        <v>07.91216-0429</v>
      </c>
      <c r="B1143" s="13" t="str">
        <f>HYPERLINK("https://parts-sales.ru/parts/MAN/07912160429","Контакт втулки 0,5-1,0-BD-AG")</f>
        <v>Контакт втулки 0,5-1,0-BD-AG</v>
      </c>
      <c r="C1143" s="5" t="s">
        <v>8</v>
      </c>
      <c r="D1143" s="6">
        <v>427.2</v>
      </c>
      <c r="E1143" s="6">
        <v>85</v>
      </c>
      <c r="F1143" s="9">
        <v>0.8</v>
      </c>
      <c r="H1143" s="11"/>
      <c r="I1143" s="11"/>
      <c r="J1143" s="11"/>
    </row>
    <row r="1144" spans="1:10" ht="15.75" x14ac:dyDescent="0.3">
      <c r="A1144" s="12" t="str">
        <f>HYPERLINK("https://parts-sales.ru/parts/MAN/07912160436","07.91216-0436")</f>
        <v>07.91216-0436</v>
      </c>
      <c r="B1144" s="12" t="str">
        <f>HYPERLINK("https://parts-sales.ru/parts/MAN/07912160436","Контакт втулки 0,5-0,75-BD-SN")</f>
        <v>Контакт втулки 0,5-0,75-BD-SN</v>
      </c>
      <c r="C1144" s="3" t="s">
        <v>8</v>
      </c>
      <c r="D1144" s="4">
        <v>192</v>
      </c>
      <c r="E1144" s="4">
        <v>40</v>
      </c>
      <c r="F1144" s="8">
        <v>0.79</v>
      </c>
      <c r="H1144" s="11"/>
      <c r="I1144" s="11"/>
      <c r="J1144" s="11"/>
    </row>
    <row r="1145" spans="1:10" ht="15.75" x14ac:dyDescent="0.3">
      <c r="A1145" s="13" t="str">
        <f>HYPERLINK("https://parts-sales.ru/parts/MAN/07912161252","07.91216-1252")</f>
        <v>07.91216-1252</v>
      </c>
      <c r="B1145" s="13" t="str">
        <f>HYPERLINK("https://parts-sales.ru/parts/MAN/07912161252","Наружный круглый штекер 0,6-0,5/1,8X1,8S")</f>
        <v>Наружный круглый штекер 0,6-0,5/1,8X1,8S</v>
      </c>
      <c r="C1145" s="5" t="s">
        <v>8</v>
      </c>
      <c r="D1145" s="6">
        <v>436.8</v>
      </c>
      <c r="E1145" s="6">
        <v>114</v>
      </c>
      <c r="F1145" s="9">
        <v>0.74</v>
      </c>
      <c r="H1145" s="11"/>
      <c r="I1145" s="11"/>
      <c r="J1145" s="11"/>
    </row>
    <row r="1146" spans="1:10" ht="15.75" x14ac:dyDescent="0.3">
      <c r="A1146" s="12" t="str">
        <f>HYPERLINK("https://parts-sales.ru/parts/MAN/07912161260","07.91216-1260")</f>
        <v>07.91216-1260</v>
      </c>
      <c r="B1146" s="12" t="str">
        <f>HYPERLINK("https://parts-sales.ru/parts/MAN/07912161260","Контакт втулки 0,6-0,5/1,8X1,8-CUSN-SN")</f>
        <v>Контакт втулки 0,6-0,5/1,8X1,8-CUSN-SN</v>
      </c>
      <c r="C1146" s="3" t="s">
        <v>8</v>
      </c>
      <c r="D1146" s="4">
        <v>229.2</v>
      </c>
      <c r="E1146" s="4">
        <v>129</v>
      </c>
      <c r="F1146" s="8">
        <v>0.44</v>
      </c>
      <c r="H1146" s="11"/>
      <c r="I1146" s="11"/>
      <c r="J1146" s="11"/>
    </row>
    <row r="1147" spans="1:10" ht="15.75" x14ac:dyDescent="0.3">
      <c r="A1147" s="13" t="str">
        <f>HYPERLINK("https://parts-sales.ru/parts/MAN/07912350103","07.91235-0103")</f>
        <v>07.91235-0103</v>
      </c>
      <c r="B1147" s="13" t="str">
        <f>HYPERLINK("https://parts-sales.ru/parts/MAN/07912350103","Наконечная гильза жилы A2,5-10")</f>
        <v>Наконечная гильза жилы A2,5-10</v>
      </c>
      <c r="C1147" s="5" t="s">
        <v>8</v>
      </c>
      <c r="D1147" s="6">
        <v>158.4</v>
      </c>
      <c r="E1147" s="6">
        <v>32</v>
      </c>
      <c r="F1147" s="9">
        <v>0.8</v>
      </c>
      <c r="H1147" s="11"/>
      <c r="I1147" s="11"/>
      <c r="J1147" s="11"/>
    </row>
    <row r="1148" spans="1:10" ht="15.75" x14ac:dyDescent="0.3">
      <c r="A1148" s="12" t="str">
        <f>HYPERLINK("https://parts-sales.ru/parts/MAN/07912350105","07.91235-0105")</f>
        <v>07.91235-0105</v>
      </c>
      <c r="B1148" s="12" t="str">
        <f>HYPERLINK("https://parts-sales.ru/parts/MAN/07912350105","Наконечная гильза жилы A10-12")</f>
        <v>Наконечная гильза жилы A10-12</v>
      </c>
      <c r="C1148" s="3" t="s">
        <v>8</v>
      </c>
      <c r="D1148" s="4">
        <v>97.2</v>
      </c>
      <c r="E1148" s="4">
        <v>31</v>
      </c>
      <c r="F1148" s="8">
        <v>0.68</v>
      </c>
      <c r="H1148" s="11"/>
      <c r="I1148" s="11"/>
      <c r="J1148" s="11"/>
    </row>
    <row r="1149" spans="1:10" ht="15.75" x14ac:dyDescent="0.3">
      <c r="A1149" s="13" t="str">
        <f>HYPERLINK("https://parts-sales.ru/parts/MAN/07913001008","07.91300-1008")</f>
        <v>07.91300-1008</v>
      </c>
      <c r="B1149" s="13" t="str">
        <f>HYPERLINK("https://parts-sales.ru/parts/MAN/07913001008","Стыковой соединитель проводов 0,35-0,5-H")</f>
        <v>Стыковой соединитель проводов 0,35-0,5-H</v>
      </c>
      <c r="C1149" s="5" t="s">
        <v>8</v>
      </c>
      <c r="D1149" s="6">
        <v>1333.2</v>
      </c>
      <c r="E1149" s="6">
        <v>71</v>
      </c>
      <c r="F1149" s="9">
        <v>0.95</v>
      </c>
      <c r="H1149" s="11"/>
      <c r="I1149" s="11"/>
      <c r="J1149" s="11"/>
    </row>
    <row r="1150" spans="1:10" ht="15.75" x14ac:dyDescent="0.3">
      <c r="A1150" s="12" t="str">
        <f>HYPERLINK("https://parts-sales.ru/parts/MAN/07916010020","07.91601-0020")</f>
        <v>07.91601-0020</v>
      </c>
      <c r="B1150" s="12" t="str">
        <f>HYPERLINK("https://parts-sales.ru/parts/MAN/07916010020","Корпус штекера 8-21,3X11,6-2,8-CODE3-RT")</f>
        <v>Корпус штекера 8-21,3X11,6-2,8-CODE3-RT</v>
      </c>
      <c r="C1150" s="3" t="s">
        <v>8</v>
      </c>
      <c r="D1150" s="4">
        <v>2046</v>
      </c>
      <c r="E1150" s="4">
        <v>222</v>
      </c>
      <c r="F1150" s="8">
        <v>0.89</v>
      </c>
      <c r="H1150" s="11"/>
      <c r="I1150" s="11"/>
      <c r="J1150" s="11"/>
    </row>
    <row r="1151" spans="1:10" ht="15.75" x14ac:dyDescent="0.3">
      <c r="A1151" s="13" t="str">
        <f>HYPERLINK("https://parts-sales.ru/parts/MAN/07916250071","07.91625-0071")</f>
        <v>07.91625-0071</v>
      </c>
      <c r="B1151" s="13" t="str">
        <f>HYPERLINK("https://parts-sales.ru/parts/MAN/07916250071","Днище кузова")</f>
        <v>Днище кузова</v>
      </c>
      <c r="C1151" s="5" t="s">
        <v>8</v>
      </c>
      <c r="D1151" s="6">
        <v>1882.8</v>
      </c>
      <c r="E1151" s="6">
        <v>394</v>
      </c>
      <c r="F1151" s="9">
        <v>0.79</v>
      </c>
      <c r="H1151" s="11"/>
      <c r="I1151" s="11"/>
      <c r="J1151" s="11"/>
    </row>
    <row r="1152" spans="1:10" ht="15.75" x14ac:dyDescent="0.3">
      <c r="A1152" s="12" t="str">
        <f>HYPERLINK("https://parts-sales.ru/parts/MAN/07919430002","07.91943-0002")</f>
        <v>07.91943-0002</v>
      </c>
      <c r="B1152" s="12" t="str">
        <f>HYPERLINK("https://parts-sales.ru/parts/MAN/07919430002","Устр-во маркировки проводов 40 ST")</f>
        <v>Устр-во маркировки проводов 40 ST</v>
      </c>
      <c r="C1152" s="3" t="s">
        <v>8</v>
      </c>
      <c r="D1152" s="4">
        <v>2452.8000000000002</v>
      </c>
      <c r="E1152" s="4">
        <v>306</v>
      </c>
      <c r="F1152" s="8">
        <v>0.88</v>
      </c>
      <c r="H1152" s="11"/>
      <c r="I1152" s="11"/>
      <c r="J1152" s="11"/>
    </row>
    <row r="1153" spans="1:10" ht="15.75" x14ac:dyDescent="0.3">
      <c r="A1153" s="13" t="str">
        <f>HYPERLINK("https://parts-sales.ru/parts/MAN/07919535007","07.91953-5007")</f>
        <v>07.91953-5007</v>
      </c>
      <c r="B1153" s="13" t="str">
        <f>HYPERLINK("https://parts-sales.ru/parts/MAN/07919535007","Гильза с маркировкой B5-L")</f>
        <v>Гильза с маркировкой B5-L</v>
      </c>
      <c r="C1153" s="5" t="s">
        <v>8</v>
      </c>
      <c r="D1153" s="6">
        <v>656.4</v>
      </c>
      <c r="E1153" s="6">
        <v>171</v>
      </c>
      <c r="F1153" s="9">
        <v>0.74</v>
      </c>
      <c r="H1153" s="11"/>
      <c r="I1153" s="11"/>
      <c r="J1153" s="11"/>
    </row>
    <row r="1154" spans="1:10" ht="15.75" x14ac:dyDescent="0.3">
      <c r="A1154" s="12" t="str">
        <f>HYPERLINK("https://parts-sales.ru/parts/MAN/07919535231","07.91953-5231")</f>
        <v>07.91953-5231</v>
      </c>
      <c r="B1154" s="12" t="str">
        <f>HYPERLINK("https://parts-sales.ru/parts/MAN/07919535231","Гильза с маркировкой B3-L")</f>
        <v>Гильза с маркировкой B3-L</v>
      </c>
      <c r="C1154" s="3" t="s">
        <v>8</v>
      </c>
      <c r="D1154" s="4">
        <v>158.4</v>
      </c>
      <c r="E1154" s="4">
        <v>32</v>
      </c>
      <c r="F1154" s="8">
        <v>0.8</v>
      </c>
      <c r="H1154" s="11"/>
      <c r="I1154" s="11"/>
      <c r="J1154" s="11"/>
    </row>
    <row r="1155" spans="1:10" ht="15.75" x14ac:dyDescent="0.3">
      <c r="A1155" s="13" t="str">
        <f>HYPERLINK("https://parts-sales.ru/parts/MAN/07920004018","07.92000-4018")</f>
        <v>07.92000-4018</v>
      </c>
      <c r="B1155" s="13" t="str">
        <f>HYPERLINK("https://parts-sales.ru/parts/MAN/07920004018","Лампа накаливания 28V-10W-XENON-G4")</f>
        <v>Лампа накаливания 28V-10W-XENON-G4</v>
      </c>
      <c r="C1155" s="5" t="s">
        <v>9</v>
      </c>
      <c r="D1155" s="6">
        <v>1711.2</v>
      </c>
      <c r="E1155" s="6">
        <v>273</v>
      </c>
      <c r="F1155" s="9">
        <v>0.84</v>
      </c>
      <c r="H1155" s="11"/>
      <c r="I1155" s="11"/>
      <c r="J1155" s="11"/>
    </row>
    <row r="1156" spans="1:10" ht="15.75" x14ac:dyDescent="0.3">
      <c r="A1156" s="12" t="str">
        <f>HYPERLINK("https://parts-sales.ru/parts/MAN/07920004024","07.92000-4024")</f>
        <v>07.92000-4024</v>
      </c>
      <c r="B1156" s="12" t="str">
        <f>HYPERLINK("https://parts-sales.ru/parts/MAN/07920004024","Ящик для ламп накаливания 24V D2S")</f>
        <v>Ящик для ламп накаливания 24V D2S</v>
      </c>
      <c r="C1156" s="3" t="s">
        <v>9</v>
      </c>
      <c r="D1156" s="4">
        <v>77320.800000000003</v>
      </c>
      <c r="E1156" s="4">
        <v>15602</v>
      </c>
      <c r="F1156" s="8">
        <v>0.8</v>
      </c>
      <c r="H1156" s="11"/>
      <c r="I1156" s="11"/>
      <c r="J1156" s="11"/>
    </row>
    <row r="1157" spans="1:10" ht="15.75" x14ac:dyDescent="0.3">
      <c r="A1157" s="13" t="str">
        <f>HYPERLINK("https://parts-sales.ru/parts/MAN/07920081623","07.92008-1623")</f>
        <v>07.92008-1623</v>
      </c>
      <c r="B1157" s="13" t="str">
        <f>HYPERLINK("https://parts-sales.ru/parts/MAN/07920081623","Лампа накаливания H3-24V-35W")</f>
        <v>Лампа накаливания H3-24V-35W</v>
      </c>
      <c r="C1157" s="5" t="s">
        <v>9</v>
      </c>
      <c r="D1157" s="6">
        <v>4400.3999999999996</v>
      </c>
      <c r="E1157" s="6">
        <v>895</v>
      </c>
      <c r="F1157" s="9">
        <v>0.8</v>
      </c>
      <c r="H1157" s="11"/>
      <c r="I1157" s="11"/>
      <c r="J1157" s="11"/>
    </row>
    <row r="1158" spans="1:10" ht="15.75" x14ac:dyDescent="0.3">
      <c r="A1158" s="12" t="str">
        <f>HYPERLINK("https://parts-sales.ru/parts/MAN/07920081752","07.92008-1752")</f>
        <v>07.92008-1752</v>
      </c>
      <c r="B1158" s="12" t="str">
        <f>HYPERLINK("https://parts-sales.ru/parts/MAN/07920081752","Лампа накаливания H15-12V-15/55W-PGJ23T-")</f>
        <v>Лампа накаливания H15-12V-15/55W-PGJ23T-</v>
      </c>
      <c r="C1158" s="3" t="s">
        <v>9</v>
      </c>
      <c r="D1158" s="4">
        <v>5220</v>
      </c>
      <c r="E1158" s="4">
        <v>1358</v>
      </c>
      <c r="F1158" s="8">
        <v>0.74</v>
      </c>
      <c r="H1158" s="11"/>
      <c r="I1158" s="11"/>
      <c r="J1158" s="11"/>
    </row>
    <row r="1159" spans="1:10" ht="15.75" x14ac:dyDescent="0.3">
      <c r="A1159" s="13" t="str">
        <f>HYPERLINK("https://parts-sales.ru/parts/MAN/07920081795","07.92008-1795")</f>
        <v>07.92008-1795</v>
      </c>
      <c r="B1159" s="13" t="str">
        <f>HYPERLINK("https://parts-sales.ru/parts/MAN/07920081795","Лампа газонаполненная D1R-85V-35W-PK32D-")</f>
        <v>Лампа газонаполненная D1R-85V-35W-PK32D-</v>
      </c>
      <c r="C1159" s="5" t="s">
        <v>9</v>
      </c>
      <c r="D1159" s="6">
        <v>33630.870000000003</v>
      </c>
      <c r="E1159" s="6">
        <v>15655</v>
      </c>
      <c r="F1159" s="9">
        <v>0.53</v>
      </c>
      <c r="H1159" s="11"/>
      <c r="I1159" s="11"/>
      <c r="J1159" s="11"/>
    </row>
    <row r="1160" spans="1:10" ht="15.75" x14ac:dyDescent="0.3">
      <c r="A1160" s="12" t="str">
        <f>HYPERLINK("https://parts-sales.ru/parts/MAN/07921300009","07.92130-0009")</f>
        <v>07.92130-0009</v>
      </c>
      <c r="B1160" s="12" t="str">
        <f>HYPERLINK("https://parts-sales.ru/parts/MAN/07921300009","Трубчатая люминесцентная лампа 220V/28W-")</f>
        <v>Трубчатая люминесцентная лампа 220V/28W-</v>
      </c>
      <c r="C1160" s="3" t="s">
        <v>9</v>
      </c>
      <c r="D1160" s="4">
        <v>3332.4</v>
      </c>
      <c r="E1160" s="4">
        <v>991</v>
      </c>
      <c r="F1160" s="8">
        <v>0.7</v>
      </c>
      <c r="H1160" s="11"/>
      <c r="I1160" s="11"/>
      <c r="J1160" s="11"/>
    </row>
    <row r="1161" spans="1:10" ht="15.75" x14ac:dyDescent="0.3">
      <c r="A1161" s="13" t="str">
        <f>HYPERLINK("https://parts-sales.ru/parts/MAN/07933100009","07.93310-0009")</f>
        <v>07.93310-0009</v>
      </c>
      <c r="B1161" s="13" t="str">
        <f>HYPERLINK("https://parts-sales.ru/parts/MAN/07933100009","Пластинчатый предохранитель B-100A")</f>
        <v>Пластинчатый предохранитель B-100A</v>
      </c>
      <c r="C1161" s="5" t="s">
        <v>9</v>
      </c>
      <c r="D1161" s="6">
        <v>1873.2</v>
      </c>
      <c r="E1161" s="6">
        <v>392</v>
      </c>
      <c r="F1161" s="9">
        <v>0.79</v>
      </c>
      <c r="H1161" s="11"/>
      <c r="I1161" s="11"/>
      <c r="J1161" s="11"/>
    </row>
    <row r="1162" spans="1:10" ht="15.75" x14ac:dyDescent="0.3">
      <c r="A1162" s="12" t="str">
        <f>HYPERLINK("https://parts-sales.ru/parts/MAN/07933100014","07.93310-0014")</f>
        <v>07.93310-0014</v>
      </c>
      <c r="B1162" s="12" t="str">
        <f>HYPERLINK("https://parts-sales.ru/parts/MAN/07933100014","Пластинчатый предохранитель B-80A")</f>
        <v>Пластинчатый предохранитель B-80A</v>
      </c>
      <c r="C1162" s="3" t="s">
        <v>9</v>
      </c>
      <c r="D1162" s="4">
        <v>1462.8</v>
      </c>
      <c r="E1162" s="4">
        <v>251</v>
      </c>
      <c r="F1162" s="8">
        <v>0.83</v>
      </c>
      <c r="H1162" s="11"/>
      <c r="I1162" s="11"/>
      <c r="J1162" s="11"/>
    </row>
    <row r="1163" spans="1:10" ht="15.75" x14ac:dyDescent="0.3">
      <c r="A1163" s="13" t="str">
        <f>HYPERLINK("https://parts-sales.ru/parts/MAN/07938100001","07.93810-0001")</f>
        <v>07.93810-0001</v>
      </c>
      <c r="B1163" s="13" t="str">
        <f>HYPERLINK("https://parts-sales.ru/parts/MAN/07938100001","Предохранитель с плоским корп. 5A-HBR")</f>
        <v>Предохранитель с плоским корп. 5A-HBR</v>
      </c>
      <c r="C1163" s="5" t="s">
        <v>9</v>
      </c>
      <c r="D1163" s="6">
        <v>64.739999999999995</v>
      </c>
      <c r="E1163" s="6">
        <v>10</v>
      </c>
      <c r="F1163" s="9">
        <v>0.85</v>
      </c>
      <c r="H1163" s="11"/>
      <c r="I1163" s="11"/>
      <c r="J1163" s="11"/>
    </row>
    <row r="1164" spans="1:10" ht="15.75" x14ac:dyDescent="0.3">
      <c r="A1164" s="12" t="str">
        <f>HYPERLINK("https://parts-sales.ru/parts/MAN/07938100006","07.93810-0006")</f>
        <v>07.93810-0006</v>
      </c>
      <c r="B1164" s="12" t="str">
        <f>HYPERLINK("https://parts-sales.ru/parts/MAN/07938100006","Предохранитель с плоским корп. 25A-WS")</f>
        <v>Предохранитель с плоским корп. 25A-WS</v>
      </c>
      <c r="C1164" s="3" t="s">
        <v>9</v>
      </c>
      <c r="D1164" s="4">
        <v>112.8</v>
      </c>
      <c r="E1164" s="4">
        <v>26</v>
      </c>
      <c r="F1164" s="8">
        <v>0.77</v>
      </c>
      <c r="H1164" s="11"/>
      <c r="I1164" s="11"/>
      <c r="J1164" s="11"/>
    </row>
    <row r="1165" spans="1:10" ht="15.75" x14ac:dyDescent="0.3">
      <c r="A1165" s="13" t="str">
        <f>HYPERLINK("https://parts-sales.ru/parts/MAN/07938100009","07.93810-0009")</f>
        <v>07.93810-0009</v>
      </c>
      <c r="B1165" s="13" t="str">
        <f>HYPERLINK("https://parts-sales.ru/parts/MAN/07938100009","Предохранитель с плоским корп. 2A-GR")</f>
        <v>Предохранитель с плоским корп. 2A-GR</v>
      </c>
      <c r="C1165" s="5" t="s">
        <v>9</v>
      </c>
      <c r="D1165" s="6">
        <v>85.2</v>
      </c>
      <c r="E1165" s="6">
        <v>48</v>
      </c>
      <c r="F1165" s="9">
        <v>0.44</v>
      </c>
      <c r="H1165" s="11"/>
      <c r="I1165" s="11"/>
      <c r="J1165" s="11"/>
    </row>
    <row r="1166" spans="1:10" ht="15.75" x14ac:dyDescent="0.3">
      <c r="A1166" s="12" t="str">
        <f>HYPERLINK("https://parts-sales.ru/parts/MAN/07938100026","07.93810-0026")</f>
        <v>07.93810-0026</v>
      </c>
      <c r="B1166" s="12" t="str">
        <f>HYPERLINK("https://parts-sales.ru/parts/MAN/07938100026","Предохранитель с плоским корп. 2A-ZN-AG-")</f>
        <v>Предохранитель с плоским корп. 2A-ZN-AG-</v>
      </c>
      <c r="C1166" s="3" t="s">
        <v>9</v>
      </c>
      <c r="D1166" s="4">
        <v>272.39999999999998</v>
      </c>
      <c r="E1166" s="4">
        <v>11</v>
      </c>
      <c r="F1166" s="8">
        <v>0.96</v>
      </c>
      <c r="H1166" s="11"/>
      <c r="I1166" s="11"/>
      <c r="J1166" s="11"/>
    </row>
    <row r="1167" spans="1:10" ht="15.75" x14ac:dyDescent="0.3">
      <c r="A1167" s="13" t="str">
        <f>HYPERLINK("https://parts-sales.ru/parts/MAN/07938100027","07.93810-0027")</f>
        <v>07.93810-0027</v>
      </c>
      <c r="B1167" s="13" t="str">
        <f>HYPERLINK("https://parts-sales.ru/parts/MAN/07938100027","Предохранитель с плоским корп. 3A-MINI-V")</f>
        <v>Предохранитель с плоским корп. 3A-MINI-V</v>
      </c>
      <c r="C1167" s="5" t="s">
        <v>9</v>
      </c>
      <c r="D1167" s="6">
        <v>66</v>
      </c>
      <c r="E1167" s="6">
        <v>11</v>
      </c>
      <c r="F1167" s="9">
        <v>0.83</v>
      </c>
      <c r="H1167" s="11"/>
      <c r="I1167" s="11"/>
      <c r="J1167" s="11"/>
    </row>
    <row r="1168" spans="1:10" ht="15.75" x14ac:dyDescent="0.3">
      <c r="A1168" s="12" t="str">
        <f>HYPERLINK("https://parts-sales.ru/parts/MAN/07938100028","07.93810-0028")</f>
        <v>07.93810-0028</v>
      </c>
      <c r="B1168" s="12" t="str">
        <f>HYPERLINK("https://parts-sales.ru/parts/MAN/07938100028","Предохранитель с плоским корп. 4A-F-ZN-A")</f>
        <v>Предохранитель с плоским корп. 4A-F-ZN-A</v>
      </c>
      <c r="C1168" s="3" t="s">
        <v>9</v>
      </c>
      <c r="D1168" s="4">
        <v>66</v>
      </c>
      <c r="E1168" s="4">
        <v>16</v>
      </c>
      <c r="F1168" s="8">
        <v>0.76</v>
      </c>
      <c r="H1168" s="11"/>
      <c r="I1168" s="11"/>
      <c r="J1168" s="11"/>
    </row>
    <row r="1169" spans="1:10" ht="15.75" x14ac:dyDescent="0.3">
      <c r="A1169" s="13" t="str">
        <f>HYPERLINK("https://parts-sales.ru/parts/MAN/07938100030","07.93810-0030")</f>
        <v>07.93810-0030</v>
      </c>
      <c r="B1169" s="13" t="str">
        <f>HYPERLINK("https://parts-sales.ru/parts/MAN/07938100030","Предохранитель с плоским корп. 7,5A-MINI")</f>
        <v>Предохранитель с плоским корп. 7,5A-MINI</v>
      </c>
      <c r="C1169" s="5" t="s">
        <v>9</v>
      </c>
      <c r="D1169" s="6">
        <v>272.39999999999998</v>
      </c>
      <c r="E1169" s="6">
        <v>11</v>
      </c>
      <c r="F1169" s="9">
        <v>0.96</v>
      </c>
      <c r="H1169" s="11"/>
      <c r="I1169" s="11"/>
      <c r="J1169" s="11"/>
    </row>
    <row r="1170" spans="1:10" ht="15.75" x14ac:dyDescent="0.3">
      <c r="A1170" s="12" t="str">
        <f>HYPERLINK("https://parts-sales.ru/parts/MAN/07938100032","07.93810-0032")</f>
        <v>07.93810-0032</v>
      </c>
      <c r="B1170" s="12" t="str">
        <f>HYPERLINK("https://parts-sales.ru/parts/MAN/07938100032","Предохранитель с плоским корп. 15A-MINI-")</f>
        <v>Предохранитель с плоским корп. 15A-MINI-</v>
      </c>
      <c r="C1170" s="3" t="s">
        <v>9</v>
      </c>
      <c r="D1170" s="4">
        <v>272.39999999999998</v>
      </c>
      <c r="E1170" s="4">
        <v>11</v>
      </c>
      <c r="F1170" s="8">
        <v>0.96</v>
      </c>
      <c r="H1170" s="11"/>
      <c r="I1170" s="11"/>
      <c r="J1170" s="11"/>
    </row>
    <row r="1171" spans="1:10" ht="15.75" x14ac:dyDescent="0.3">
      <c r="A1171" s="13" t="str">
        <f>HYPERLINK("https://parts-sales.ru/parts/MAN/07938100039","07.93810-0039")</f>
        <v>07.93810-0039</v>
      </c>
      <c r="B1171" s="13" t="str">
        <f>HYPERLINK("https://parts-sales.ru/parts/MAN/07938100039","Предохранитель с плоским корп. 5A-SN-MIN")</f>
        <v>Предохранитель с плоским корп. 5A-SN-MIN</v>
      </c>
      <c r="C1171" s="5" t="s">
        <v>9</v>
      </c>
      <c r="D1171" s="6">
        <v>85.2</v>
      </c>
      <c r="E1171" s="6">
        <v>25</v>
      </c>
      <c r="F1171" s="9">
        <v>0.71</v>
      </c>
      <c r="H1171" s="11"/>
      <c r="I1171" s="11"/>
      <c r="J1171" s="11"/>
    </row>
    <row r="1172" spans="1:10" ht="15.75" x14ac:dyDescent="0.3">
      <c r="A1172" s="12" t="str">
        <f>HYPERLINK("https://parts-sales.ru/parts/MAN/07938100040","07.93810-0040")</f>
        <v>07.93810-0040</v>
      </c>
      <c r="B1172" s="12" t="str">
        <f>HYPERLINK("https://parts-sales.ru/parts/MAN/07938100040","Предохранитель с плоским корп. 7,5A-SN-M")</f>
        <v>Предохранитель с плоским корп. 7,5A-SN-M</v>
      </c>
      <c r="C1172" s="3" t="s">
        <v>9</v>
      </c>
      <c r="D1172" s="4">
        <v>85.2</v>
      </c>
      <c r="E1172" s="4">
        <v>17</v>
      </c>
      <c r="F1172" s="8">
        <v>0.8</v>
      </c>
      <c r="H1172" s="11"/>
      <c r="I1172" s="11"/>
      <c r="J1172" s="11"/>
    </row>
    <row r="1173" spans="1:10" ht="15.75" x14ac:dyDescent="0.3">
      <c r="A1173" s="13" t="str">
        <f>HYPERLINK("https://parts-sales.ru/parts/MAN/07938100041","07.93810-0041")</f>
        <v>07.93810-0041</v>
      </c>
      <c r="B1173" s="13" t="str">
        <f>HYPERLINK("https://parts-sales.ru/parts/MAN/07938100041","Предохранитель с плоским корп. 10A-SN-MI")</f>
        <v>Предохранитель с плоским корп. 10A-SN-MI</v>
      </c>
      <c r="C1173" s="5" t="s">
        <v>9</v>
      </c>
      <c r="D1173" s="6">
        <v>85.2</v>
      </c>
      <c r="E1173" s="6">
        <v>18</v>
      </c>
      <c r="F1173" s="9">
        <v>0.79</v>
      </c>
      <c r="H1173" s="11"/>
      <c r="I1173" s="11"/>
      <c r="J1173" s="11"/>
    </row>
    <row r="1174" spans="1:10" ht="15.75" x14ac:dyDescent="0.3">
      <c r="A1174" s="12" t="str">
        <f>HYPERLINK("https://parts-sales.ru/parts/MAN/07938130002","07.93813-0002")</f>
        <v>07.93813-0002</v>
      </c>
      <c r="B1174" s="12" t="str">
        <f>HYPERLINK("https://parts-sales.ru/parts/MAN/07938130002","Установочный автомат POLYSWITCH")</f>
        <v>Установочный автомат POLYSWITCH</v>
      </c>
      <c r="C1174" s="3" t="s">
        <v>9</v>
      </c>
      <c r="D1174" s="4">
        <v>4356</v>
      </c>
      <c r="E1174" s="4">
        <v>981</v>
      </c>
      <c r="F1174" s="8">
        <v>0.77</v>
      </c>
      <c r="H1174" s="11"/>
      <c r="I1174" s="11"/>
      <c r="J1174" s="11"/>
    </row>
    <row r="1175" spans="1:10" ht="15.75" x14ac:dyDescent="0.3">
      <c r="A1175" s="13" t="str">
        <f>HYPERLINK("https://parts-sales.ru/parts/MAN/07987040006","07.98704-0006")</f>
        <v>07.98704-0006</v>
      </c>
      <c r="B1175" s="13" t="str">
        <f>HYPERLINK("https://parts-sales.ru/parts/MAN/07987040006","Защитный зажим VCI T-4XX SERIE")</f>
        <v>Защитный зажим VCI T-4XX SERIE</v>
      </c>
      <c r="C1175" s="5" t="s">
        <v>10</v>
      </c>
      <c r="D1175" s="6">
        <v>10340.4</v>
      </c>
      <c r="E1175" s="6">
        <v>3608</v>
      </c>
      <c r="F1175" s="9">
        <v>0.65</v>
      </c>
      <c r="H1175" s="11"/>
      <c r="I1175" s="11"/>
      <c r="J1175" s="11"/>
    </row>
    <row r="1176" spans="1:10" ht="15.75" x14ac:dyDescent="0.3">
      <c r="A1176" s="12" t="str">
        <f>HYPERLINK("https://parts-sales.ru/parts/MAN/07989010005","07.98901-0005")</f>
        <v>07.98901-0005</v>
      </c>
      <c r="B1176" s="12" t="str">
        <f>HYPERLINK("https://parts-sales.ru/parts/MAN/07989010005","Соединит. адаптер: диагностика T200 (OBD")</f>
        <v>Соединит. адаптер: диагностика T200 (OBD</v>
      </c>
      <c r="C1176" s="3" t="s">
        <v>10</v>
      </c>
      <c r="D1176" s="4">
        <v>30097.200000000001</v>
      </c>
      <c r="E1176" s="4">
        <v>8790</v>
      </c>
      <c r="F1176" s="8">
        <v>0.71</v>
      </c>
      <c r="H1176" s="11"/>
      <c r="I1176" s="11"/>
      <c r="J1176" s="11"/>
    </row>
    <row r="1177" spans="1:10" ht="15.75" x14ac:dyDescent="0.3">
      <c r="A1177" s="13" t="str">
        <f>HYPERLINK("https://parts-sales.ru/parts/MAN/07989010011","07.98901-0011")</f>
        <v>07.98901-0011</v>
      </c>
      <c r="B1177" s="13" t="str">
        <f>HYPERLINK("https://parts-sales.ru/parts/MAN/07989010011","Диагностический провод T4XX-Serie (OBD-1")</f>
        <v>Диагностический провод T4XX-Serie (OBD-1</v>
      </c>
      <c r="C1177" s="5" t="s">
        <v>10</v>
      </c>
      <c r="D1177" s="6">
        <v>17149.2</v>
      </c>
      <c r="E1177" s="6">
        <v>4103</v>
      </c>
      <c r="F1177" s="9">
        <v>0.76</v>
      </c>
      <c r="H1177" s="11"/>
      <c r="I1177" s="11"/>
      <c r="J1177" s="11"/>
    </row>
    <row r="1178" spans="1:10" ht="15.75" x14ac:dyDescent="0.3">
      <c r="A1178" s="12" t="str">
        <f>HYPERLINK("https://parts-sales.ru/parts/MAN/08029600108","08.02960-0108")</f>
        <v>08.02960-0108</v>
      </c>
      <c r="B1178" s="12" t="str">
        <f>HYPERLINK("https://parts-sales.ru/parts/MAN/08029600108","Клещи EVO9")</f>
        <v>Клещи EVO9</v>
      </c>
      <c r="C1178" s="3" t="s">
        <v>11</v>
      </c>
      <c r="D1178" s="4">
        <v>58356.31</v>
      </c>
      <c r="E1178" s="4">
        <v>26738</v>
      </c>
      <c r="F1178" s="8">
        <v>0.54</v>
      </c>
      <c r="H1178" s="11"/>
      <c r="I1178" s="11"/>
      <c r="J1178" s="11"/>
    </row>
    <row r="1179" spans="1:10" ht="15.75" x14ac:dyDescent="0.3">
      <c r="A1179" s="13" t="str">
        <f>HYPERLINK("https://parts-sales.ru/parts/MAN/08061409067","08.06140-9067")</f>
        <v>08.06140-9067</v>
      </c>
      <c r="B1179" s="13" t="str">
        <f>HYPERLINK("https://parts-sales.ru/parts/MAN/08061409067","Насадка торцового ключа")</f>
        <v>Насадка торцового ключа</v>
      </c>
      <c r="C1179" s="5" t="s">
        <v>11</v>
      </c>
      <c r="D1179" s="6">
        <v>12248.4</v>
      </c>
      <c r="E1179" s="6">
        <v>2589</v>
      </c>
      <c r="F1179" s="9">
        <v>0.79</v>
      </c>
      <c r="H1179" s="11"/>
      <c r="I1179" s="11"/>
      <c r="J1179" s="11"/>
    </row>
    <row r="1180" spans="1:10" ht="15.75" x14ac:dyDescent="0.3">
      <c r="A1180" s="12" t="str">
        <f>HYPERLINK("https://parts-sales.ru/parts/MAN/08061419065","08.06141-9065")</f>
        <v>08.06141-9065</v>
      </c>
      <c r="B1180" s="12" t="str">
        <f>HYPERLINK("https://parts-sales.ru/parts/MAN/08061419065","Насадка торцового ключа")</f>
        <v>Насадка торцового ключа</v>
      </c>
      <c r="C1180" s="3" t="s">
        <v>11</v>
      </c>
      <c r="D1180" s="4">
        <v>15123.6</v>
      </c>
      <c r="E1180" s="4">
        <v>6295</v>
      </c>
      <c r="F1180" s="8">
        <v>0.57999999999999996</v>
      </c>
      <c r="H1180" s="11"/>
      <c r="I1180" s="11"/>
      <c r="J1180" s="11"/>
    </row>
    <row r="1181" spans="1:10" ht="15.75" x14ac:dyDescent="0.3">
      <c r="A1181" s="13" t="str">
        <f>HYPERLINK("https://parts-sales.ru/parts/MAN/08061419069","08.06141-9069")</f>
        <v>08.06141-9069</v>
      </c>
      <c r="B1181" s="13" t="str">
        <f>HYPERLINK("https://parts-sales.ru/parts/MAN/08061419069","Насадка торцового ключа 12,5X22")</f>
        <v>Насадка торцового ключа 12,5X22</v>
      </c>
      <c r="C1181" s="5" t="s">
        <v>11</v>
      </c>
      <c r="D1181" s="6">
        <v>51982.8</v>
      </c>
      <c r="E1181" s="6">
        <v>11413</v>
      </c>
      <c r="F1181" s="9">
        <v>0.78</v>
      </c>
      <c r="H1181" s="11"/>
      <c r="I1181" s="11"/>
      <c r="J1181" s="11"/>
    </row>
    <row r="1182" spans="1:10" ht="15.75" x14ac:dyDescent="0.3">
      <c r="A1182" s="12" t="str">
        <f>HYPERLINK("https://parts-sales.ru/parts/MAN/08061422328","08.06142-2328")</f>
        <v>08.06142-2328</v>
      </c>
      <c r="B1182" s="12" t="str">
        <f>HYPERLINK("https://parts-sales.ru/parts/MAN/08061422328","Насадка торцового ключа 24X12,5-12-KANT-")</f>
        <v>Насадка торцового ключа 24X12,5-12-KANT-</v>
      </c>
      <c r="C1182" s="3" t="s">
        <v>11</v>
      </c>
      <c r="D1182" s="4">
        <v>4084.8</v>
      </c>
      <c r="E1182" s="4">
        <v>1131</v>
      </c>
      <c r="F1182" s="8">
        <v>0.72</v>
      </c>
      <c r="H1182" s="11"/>
      <c r="I1182" s="11"/>
      <c r="J1182" s="11"/>
    </row>
    <row r="1183" spans="1:10" ht="15.75" x14ac:dyDescent="0.3">
      <c r="A1183" s="13" t="str">
        <f>HYPERLINK("https://parts-sales.ru/parts/MAN/08064600002","08.06460-0002")</f>
        <v>08.06460-0002</v>
      </c>
      <c r="B1183" s="13" t="str">
        <f>HYPERLINK("https://parts-sales.ru/parts/MAN/08064600002","Рукоятка 14X18X630")</f>
        <v>Рукоятка 14X18X630</v>
      </c>
      <c r="C1183" s="5" t="s">
        <v>11</v>
      </c>
      <c r="D1183" s="6">
        <v>22347.599999999999</v>
      </c>
      <c r="E1183" s="6">
        <v>5474</v>
      </c>
      <c r="F1183" s="9">
        <v>0.76</v>
      </c>
      <c r="H1183" s="11"/>
      <c r="I1183" s="11"/>
      <c r="J1183" s="11"/>
    </row>
    <row r="1184" spans="1:10" ht="15.75" x14ac:dyDescent="0.3">
      <c r="A1184" s="12" t="str">
        <f>HYPERLINK("https://parts-sales.ru/parts/MAN/08996059001","08.99605-9001")</f>
        <v>08.99605-9001</v>
      </c>
      <c r="B1184" s="12" t="str">
        <f>HYPERLINK("https://parts-sales.ru/parts/MAN/08996059001","Приспособление для резки")</f>
        <v>Приспособление для резки</v>
      </c>
      <c r="C1184" s="3" t="s">
        <v>11</v>
      </c>
      <c r="D1184" s="4">
        <v>37735.199999999997</v>
      </c>
      <c r="E1184" s="4">
        <v>10354</v>
      </c>
      <c r="F1184" s="8">
        <v>0.73</v>
      </c>
      <c r="H1184" s="11"/>
      <c r="I1184" s="11"/>
      <c r="J1184" s="11"/>
    </row>
    <row r="1185" spans="1:10" ht="15.75" x14ac:dyDescent="0.3">
      <c r="A1185" s="13" t="str">
        <f>HYPERLINK("https://parts-sales.ru/parts/MAN/08996150015","08.99615-0015")</f>
        <v>08.99615-0015</v>
      </c>
      <c r="B1185" s="13" t="str">
        <f>HYPERLINK("https://parts-sales.ru/parts/MAN/08996150015","Контропора")</f>
        <v>Контропора</v>
      </c>
      <c r="C1185" s="5" t="s">
        <v>11</v>
      </c>
      <c r="D1185" s="6">
        <v>17745.599999999999</v>
      </c>
      <c r="E1185" s="6">
        <v>3988</v>
      </c>
      <c r="F1185" s="9">
        <v>0.78</v>
      </c>
      <c r="H1185" s="11"/>
      <c r="I1185" s="11"/>
      <c r="J1185" s="11"/>
    </row>
    <row r="1186" spans="1:10" ht="15.75" x14ac:dyDescent="0.3">
      <c r="A1186" s="12" t="str">
        <f>HYPERLINK("https://parts-sales.ru/parts/MAN/A0001828078","A0.00182-8078")</f>
        <v>A0.00182-8078</v>
      </c>
      <c r="B1186" s="12" t="str">
        <f>HYPERLINK("https://parts-sales.ru/parts/MAN/A0001828078","Надрываемый заполнитель")</f>
        <v>Надрываемый заполнитель</v>
      </c>
      <c r="C1186" s="3" t="s">
        <v>12</v>
      </c>
      <c r="D1186" s="4">
        <v>2902.8</v>
      </c>
      <c r="E1186" s="4">
        <v>242</v>
      </c>
      <c r="F1186" s="8">
        <v>0.92</v>
      </c>
      <c r="H1186" s="11"/>
      <c r="I1186" s="11"/>
      <c r="J1186" s="11"/>
    </row>
    <row r="1187" spans="1:10" ht="15.75" x14ac:dyDescent="0.3">
      <c r="A1187" s="13" t="str">
        <f>HYPERLINK("https://parts-sales.ru/parts/MAN/09811010007","09.81101-0007")</f>
        <v>09.81101-0007</v>
      </c>
      <c r="B1187" s="13" t="str">
        <f>HYPERLINK("https://parts-sales.ru/parts/MAN/09811010007","Предохранительный шланг 25X1000-PVC-ARS")</f>
        <v>Предохранительный шланг 25X1000-PVC-ARS</v>
      </c>
      <c r="C1187" s="5" t="s">
        <v>5</v>
      </c>
      <c r="D1187" s="6">
        <v>3452.4</v>
      </c>
      <c r="E1187" s="6">
        <v>53</v>
      </c>
      <c r="F1187" s="9">
        <v>0.98</v>
      </c>
      <c r="H1187" s="11"/>
      <c r="I1187" s="11"/>
      <c r="J1187" s="11"/>
    </row>
    <row r="1188" spans="1:10" ht="15.75" x14ac:dyDescent="0.3">
      <c r="A1188" s="12" t="str">
        <f>HYPERLINK("https://parts-sales.ru/parts/MAN/33251016002","33.25101-6002")</f>
        <v>33.25101-6002</v>
      </c>
      <c r="B1188" s="12" t="str">
        <f>HYPERLINK("https://parts-sales.ru/parts/MAN/33251016002","Фара световой диод")</f>
        <v>Фара световой диод</v>
      </c>
      <c r="C1188" s="3" t="s">
        <v>13</v>
      </c>
      <c r="D1188" s="4">
        <v>32108.400000000001</v>
      </c>
      <c r="E1188" s="4">
        <v>7933</v>
      </c>
      <c r="F1188" s="8">
        <v>0.75</v>
      </c>
      <c r="H1188" s="11"/>
      <c r="I1188" s="11"/>
      <c r="J1188" s="11"/>
    </row>
    <row r="1189" spans="1:10" ht="15.75" x14ac:dyDescent="0.3">
      <c r="A1189" s="13" t="str">
        <f>HYPERLINK("https://parts-sales.ru/parts/MAN/33251016003","33.25101-6003")</f>
        <v>33.25101-6003</v>
      </c>
      <c r="B1189" s="13" t="str">
        <f>HYPERLINK("https://parts-sales.ru/parts/MAN/33251016003","Фара световой диод")</f>
        <v>Фара световой диод</v>
      </c>
      <c r="C1189" s="5" t="s">
        <v>13</v>
      </c>
      <c r="D1189" s="6">
        <v>68195.16</v>
      </c>
      <c r="E1189" s="6">
        <v>31824</v>
      </c>
      <c r="F1189" s="9">
        <v>0.53</v>
      </c>
      <c r="H1189" s="11"/>
      <c r="I1189" s="11"/>
      <c r="J1189" s="11"/>
    </row>
    <row r="1190" spans="1:10" ht="15.75" x14ac:dyDescent="0.3">
      <c r="A1190" s="12" t="str">
        <f>HYPERLINK("https://parts-sales.ru/parts/MAN/ZR000003884","ZR.00000-3884")</f>
        <v>ZR.00000-3884</v>
      </c>
      <c r="B1190" s="12" t="str">
        <f>HYPERLINK("https://parts-sales.ru/parts/MAN/ZR000003884","ГЕРМЕТИК LOCTITE 574, 50 МЛ")</f>
        <v>ГЕРМЕТИК LOCTITE 574, 50 МЛ</v>
      </c>
      <c r="C1190" s="3" t="s">
        <v>12</v>
      </c>
      <c r="D1190" s="4">
        <v>4575.6000000000004</v>
      </c>
      <c r="E1190" s="4">
        <v>2335</v>
      </c>
      <c r="F1190" s="8">
        <v>0.49</v>
      </c>
      <c r="H1190" s="11"/>
      <c r="I1190" s="11"/>
      <c r="J1190" s="11"/>
    </row>
    <row r="1191" spans="1:10" ht="15.75" x14ac:dyDescent="0.3">
      <c r="A1191" s="13" t="str">
        <f>HYPERLINK("https://parts-sales.ru/parts/MAN/33254827024","33.25482-7024")</f>
        <v>33.25482-7024</v>
      </c>
      <c r="B1191" s="13" t="str">
        <f>HYPERLINK("https://parts-sales.ru/parts/MAN/33254827024","Кабельная линия")</f>
        <v>Кабельная линия</v>
      </c>
      <c r="C1191" s="5" t="s">
        <v>8</v>
      </c>
      <c r="D1191" s="6">
        <v>128451.6</v>
      </c>
      <c r="E1191" s="6">
        <v>18320</v>
      </c>
      <c r="F1191" s="9">
        <v>0.86</v>
      </c>
      <c r="H1191" s="11"/>
      <c r="I1191" s="11"/>
      <c r="J1191" s="11"/>
    </row>
    <row r="1192" spans="1:10" ht="15.75" x14ac:dyDescent="0.3">
      <c r="A1192" s="12" t="str">
        <f>HYPERLINK("https://parts-sales.ru/parts/MAN/ZR00ACCWHBL","ZR.00ACC-WHBL")</f>
        <v>ZR.00ACC-WHBL</v>
      </c>
      <c r="B1192" s="12" t="str">
        <f>HYPERLINK("https://parts-sales.ru/parts/MAN/ZR00ACCWHBL","Противооткатные упоры")</f>
        <v>Противооткатные упоры</v>
      </c>
      <c r="C1192" s="3" t="s">
        <v>12</v>
      </c>
      <c r="D1192" s="4">
        <v>1321.96</v>
      </c>
      <c r="E1192" s="4">
        <v>880</v>
      </c>
      <c r="F1192" s="8">
        <v>0.33</v>
      </c>
      <c r="H1192" s="11"/>
      <c r="I1192" s="11"/>
      <c r="J1192" s="11"/>
    </row>
    <row r="1193" spans="1:10" ht="15.75" x14ac:dyDescent="0.3">
      <c r="A1193" s="13" t="str">
        <f>HYPERLINK("https://parts-sales.ru/parts/MAN/81018105093","81.01810-5093")</f>
        <v>81.01810-5093</v>
      </c>
      <c r="B1193" s="13" t="str">
        <f>HYPERLINK("https://parts-sales.ru/parts/MAN/81018105093","Маслоналивная труба MIT 2X NORMAQUICK FU")</f>
        <v>Маслоналивная труба MIT 2X NORMAQUICK FU</v>
      </c>
      <c r="C1193" s="5" t="s">
        <v>15</v>
      </c>
      <c r="D1193" s="6">
        <v>7701.6</v>
      </c>
      <c r="E1193" s="6">
        <v>1814</v>
      </c>
      <c r="F1193" s="9">
        <v>0.76</v>
      </c>
      <c r="H1193" s="11"/>
      <c r="I1193" s="11"/>
      <c r="J1193" s="11"/>
    </row>
    <row r="1194" spans="1:10" ht="15.75" x14ac:dyDescent="0.3">
      <c r="A1194" s="12" t="str">
        <f>HYPERLINK("https://parts-sales.ru/parts/MAN/81018106004","81.01810-6004")</f>
        <v>81.01810-6004</v>
      </c>
      <c r="B1194" s="12" t="str">
        <f>HYPERLINK("https://parts-sales.ru/parts/MAN/81018106004","Маслоналивная труба")</f>
        <v>Маслоналивная труба</v>
      </c>
      <c r="C1194" s="3" t="s">
        <v>15</v>
      </c>
      <c r="D1194" s="4">
        <v>28504.799999999999</v>
      </c>
      <c r="E1194" s="4">
        <v>4889</v>
      </c>
      <c r="F1194" s="8">
        <v>0.83</v>
      </c>
      <c r="H1194" s="11"/>
      <c r="I1194" s="11"/>
      <c r="J1194" s="11"/>
    </row>
    <row r="1195" spans="1:10" ht="15.75" x14ac:dyDescent="0.3">
      <c r="A1195" s="13" t="str">
        <f>HYPERLINK("https://parts-sales.ru/parts/MAN/81018106006","81.01810-6006")</f>
        <v>81.01810-6006</v>
      </c>
      <c r="B1195" s="13" t="str">
        <f>HYPERLINK("https://parts-sales.ru/parts/MAN/81018106006","Маслоналивная труба")</f>
        <v>Маслоналивная труба</v>
      </c>
      <c r="C1195" s="5" t="s">
        <v>15</v>
      </c>
      <c r="D1195" s="6">
        <v>20642.400000000001</v>
      </c>
      <c r="E1195" s="6">
        <v>4860</v>
      </c>
      <c r="F1195" s="9">
        <v>0.76</v>
      </c>
      <c r="H1195" s="11"/>
      <c r="I1195" s="11"/>
      <c r="J1195" s="11"/>
    </row>
    <row r="1196" spans="1:10" ht="15.75" x14ac:dyDescent="0.3">
      <c r="A1196" s="12" t="str">
        <f>HYPERLINK("https://parts-sales.ru/parts/MAN/81018106014","81.01810-6014")</f>
        <v>81.01810-6014</v>
      </c>
      <c r="B1196" s="12" t="str">
        <f>HYPERLINK("https://parts-sales.ru/parts/MAN/81018106014","Маслоналивная труба")</f>
        <v>Маслоналивная труба</v>
      </c>
      <c r="C1196" s="3" t="s">
        <v>15</v>
      </c>
      <c r="D1196" s="4">
        <v>22935.599999999999</v>
      </c>
      <c r="E1196" s="4">
        <v>8398</v>
      </c>
      <c r="F1196" s="8">
        <v>0.63</v>
      </c>
      <c r="H1196" s="11"/>
      <c r="I1196" s="11"/>
      <c r="J1196" s="11"/>
    </row>
    <row r="1197" spans="1:10" ht="15.75" x14ac:dyDescent="0.3">
      <c r="A1197" s="13" t="str">
        <f>HYPERLINK("https://parts-sales.ru/parts/MAN/36063015058","36.06301-5058")</f>
        <v>36.06301-5058</v>
      </c>
      <c r="B1197" s="13" t="str">
        <f>HYPERLINK("https://parts-sales.ru/parts/MAN/36063015058","Труба охлажд. воды")</f>
        <v>Труба охлажд. воды</v>
      </c>
      <c r="C1197" s="5" t="s">
        <v>16</v>
      </c>
      <c r="D1197" s="6">
        <v>98319.02</v>
      </c>
      <c r="E1197" s="6">
        <v>41067</v>
      </c>
      <c r="F1197" s="9">
        <v>0.57999999999999996</v>
      </c>
      <c r="H1197" s="11"/>
      <c r="I1197" s="11"/>
      <c r="J1197" s="11"/>
    </row>
    <row r="1198" spans="1:10" ht="15.75" x14ac:dyDescent="0.3">
      <c r="A1198" s="12" t="str">
        <f>HYPERLINK("https://parts-sales.ru/parts/MAN/36063015092","36.06301-5092")</f>
        <v>36.06301-5092</v>
      </c>
      <c r="B1198" s="12" t="str">
        <f>HYPERLINK("https://parts-sales.ru/parts/MAN/36063015092","Трубопровод охлажд.жидкости")</f>
        <v>Трубопровод охлажд.жидкости</v>
      </c>
      <c r="C1198" s="3" t="s">
        <v>16</v>
      </c>
      <c r="D1198" s="4">
        <v>62423.69</v>
      </c>
      <c r="E1198" s="4">
        <v>28601</v>
      </c>
      <c r="F1198" s="8">
        <v>0.54</v>
      </c>
      <c r="H1198" s="11"/>
      <c r="I1198" s="11"/>
      <c r="J1198" s="11"/>
    </row>
    <row r="1199" spans="1:10" ht="15.75" x14ac:dyDescent="0.3">
      <c r="A1199" s="13" t="str">
        <f>HYPERLINK("https://parts-sales.ru/parts/MAN/36066100000","36.06610-0000")</f>
        <v>36.06610-0000</v>
      </c>
      <c r="B1199" s="13" t="str">
        <f>HYPERLINK("https://parts-sales.ru/parts/MAN/36066100000","Диффузор")</f>
        <v>Диффузор</v>
      </c>
      <c r="C1199" s="5" t="s">
        <v>16</v>
      </c>
      <c r="D1199" s="6">
        <v>59841.7</v>
      </c>
      <c r="E1199" s="6">
        <v>24969</v>
      </c>
      <c r="F1199" s="9">
        <v>0.57999999999999996</v>
      </c>
      <c r="H1199" s="11"/>
      <c r="I1199" s="11"/>
      <c r="J1199" s="11"/>
    </row>
    <row r="1200" spans="1:10" ht="15.75" x14ac:dyDescent="0.3">
      <c r="A1200" s="12" t="str">
        <f>HYPERLINK("https://parts-sales.ru/parts/MAN/36125506000","36.12550-6000")</f>
        <v>36.12550-6000</v>
      </c>
      <c r="B1200" s="12" t="str">
        <f>HYPERLINK("https://parts-sales.ru/parts/MAN/36125506000","Уплотнительный комплект Газовый фильтр")</f>
        <v>Уплотнительный комплект Газовый фильтр</v>
      </c>
      <c r="C1200" s="3" t="s">
        <v>16</v>
      </c>
      <c r="D1200" s="4">
        <v>6486.31</v>
      </c>
      <c r="E1200" s="4">
        <v>2564</v>
      </c>
      <c r="F1200" s="8">
        <v>0.6</v>
      </c>
      <c r="H1200" s="11"/>
      <c r="I1200" s="11"/>
      <c r="J1200" s="11"/>
    </row>
    <row r="1201" spans="1:10" ht="15.75" x14ac:dyDescent="0.3">
      <c r="A1201" s="13" t="str">
        <f>HYPERLINK("https://parts-sales.ru/parts/MAN/36251016041","36.25101-6041")</f>
        <v>36.25101-6041</v>
      </c>
      <c r="B1201" s="13" t="str">
        <f>HYPERLINK("https://parts-sales.ru/parts/MAN/36251016041","Светодиодная фара")</f>
        <v>Светодиодная фара</v>
      </c>
      <c r="C1201" s="5" t="s">
        <v>16</v>
      </c>
      <c r="D1201" s="6">
        <v>90640.68</v>
      </c>
      <c r="E1201" s="6">
        <v>54180</v>
      </c>
      <c r="F1201" s="9">
        <v>0.4</v>
      </c>
      <c r="H1201" s="11"/>
      <c r="I1201" s="11"/>
      <c r="J1201" s="11"/>
    </row>
    <row r="1202" spans="1:10" ht="15.75" x14ac:dyDescent="0.3">
      <c r="A1202" s="12" t="str">
        <f>HYPERLINK("https://parts-sales.ru/parts/MAN/36251016060","36.25101-6060")</f>
        <v>36.25101-6060</v>
      </c>
      <c r="B1202" s="12" t="str">
        <f>HYPERLINK("https://parts-sales.ru/parts/MAN/36251016060","Светодиодная фара")</f>
        <v>Светодиодная фара</v>
      </c>
      <c r="C1202" s="3" t="s">
        <v>16</v>
      </c>
      <c r="D1202" s="4">
        <v>88970.11</v>
      </c>
      <c r="E1202" s="4">
        <v>41519</v>
      </c>
      <c r="F1202" s="8">
        <v>0.53</v>
      </c>
      <c r="H1202" s="11"/>
      <c r="I1202" s="11"/>
      <c r="J1202" s="11"/>
    </row>
    <row r="1203" spans="1:10" ht="15.75" x14ac:dyDescent="0.3">
      <c r="A1203" s="13" t="str">
        <f>HYPERLINK("https://parts-sales.ru/parts/MAN/36251090007","36.25109-0007")</f>
        <v>36.25109-0007</v>
      </c>
      <c r="B1203" s="13" t="str">
        <f>HYPERLINK("https://parts-sales.ru/parts/MAN/36251090007","Крышка световой диод")</f>
        <v>Крышка световой диод</v>
      </c>
      <c r="C1203" s="5" t="s">
        <v>16</v>
      </c>
      <c r="D1203" s="6">
        <v>2252.4</v>
      </c>
      <c r="E1203" s="6">
        <v>618</v>
      </c>
      <c r="F1203" s="9">
        <v>0.73</v>
      </c>
      <c r="H1203" s="11"/>
      <c r="I1203" s="11"/>
      <c r="J1203" s="11"/>
    </row>
    <row r="1204" spans="1:10" ht="15.75" x14ac:dyDescent="0.3">
      <c r="A1204" s="12" t="str">
        <f>HYPERLINK("https://parts-sales.ru/parts/MAN/36251405001","36.25140-5001")</f>
        <v>36.25140-5001</v>
      </c>
      <c r="B1204" s="12" t="str">
        <f>HYPERLINK("https://parts-sales.ru/parts/MAN/36251405001","Крепление фар")</f>
        <v>Крепление фар</v>
      </c>
      <c r="C1204" s="3" t="s">
        <v>16</v>
      </c>
      <c r="D1204" s="4">
        <v>30511.200000000001</v>
      </c>
      <c r="E1204" s="4">
        <v>5673</v>
      </c>
      <c r="F1204" s="8">
        <v>0.81</v>
      </c>
      <c r="H1204" s="11"/>
      <c r="I1204" s="11"/>
      <c r="J1204" s="11"/>
    </row>
    <row r="1205" spans="1:10" ht="15.75" x14ac:dyDescent="0.3">
      <c r="A1205" s="13" t="str">
        <f>HYPERLINK("https://parts-sales.ru/parts/MAN/36252092004","36.25209-2004")</f>
        <v>36.25209-2004</v>
      </c>
      <c r="B1205" s="13" t="str">
        <f>HYPERLINK("https://parts-sales.ru/parts/MAN/36252092004","Заслонка")</f>
        <v>Заслонка</v>
      </c>
      <c r="C1205" s="5" t="s">
        <v>16</v>
      </c>
      <c r="D1205" s="6">
        <v>6243.6</v>
      </c>
      <c r="E1205" s="6">
        <v>1675</v>
      </c>
      <c r="F1205" s="9">
        <v>0.73</v>
      </c>
      <c r="H1205" s="11"/>
      <c r="I1205" s="11"/>
      <c r="J1205" s="11"/>
    </row>
    <row r="1206" spans="1:10" ht="15.75" x14ac:dyDescent="0.3">
      <c r="A1206" s="12" t="str">
        <f>HYPERLINK("https://parts-sales.ru/parts/MAN/36252256006","36.25225-6006")</f>
        <v>36.25225-6006</v>
      </c>
      <c r="B1206" s="12" t="str">
        <f>HYPERLINK("https://parts-sales.ru/parts/MAN/36252256006","Фонарь сигнала торможения Задняя часть к")</f>
        <v>Фонарь сигнала торможения Задняя часть к</v>
      </c>
      <c r="C1206" s="3" t="s">
        <v>16</v>
      </c>
      <c r="D1206" s="4">
        <v>9379.2000000000007</v>
      </c>
      <c r="E1206" s="4">
        <v>1956</v>
      </c>
      <c r="F1206" s="8">
        <v>0.79</v>
      </c>
      <c r="H1206" s="11"/>
      <c r="I1206" s="11"/>
      <c r="J1206" s="11"/>
    </row>
    <row r="1207" spans="1:10" ht="15.75" x14ac:dyDescent="0.3">
      <c r="A1207" s="13" t="str">
        <f>HYPERLINK("https://parts-sales.ru/parts/MAN/36252256047","36.25225-6047")</f>
        <v>36.25225-6047</v>
      </c>
      <c r="B1207" s="13" t="str">
        <f>HYPERLINK("https://parts-sales.ru/parts/MAN/36252256047","Фонарь заднего света")</f>
        <v>Фонарь заднего света</v>
      </c>
      <c r="C1207" s="5" t="s">
        <v>16</v>
      </c>
      <c r="D1207" s="6">
        <v>52404</v>
      </c>
      <c r="E1207" s="6">
        <v>21215</v>
      </c>
      <c r="F1207" s="9">
        <v>0.6</v>
      </c>
      <c r="H1207" s="11"/>
      <c r="I1207" s="11"/>
      <c r="J1207" s="11"/>
    </row>
    <row r="1208" spans="1:10" ht="15.75" x14ac:dyDescent="0.3">
      <c r="A1208" s="12" t="str">
        <f>HYPERLINK("https://parts-sales.ru/parts/MAN/36252455011","36.25245-5011")</f>
        <v>36.25245-5011</v>
      </c>
      <c r="B1208" s="12" t="str">
        <f>HYPERLINK("https://parts-sales.ru/parts/MAN/36252455011","Кронштейн задней фары")</f>
        <v>Кронштейн задней фары</v>
      </c>
      <c r="C1208" s="3" t="s">
        <v>16</v>
      </c>
      <c r="D1208" s="4">
        <v>6619.2</v>
      </c>
      <c r="E1208" s="4">
        <v>1430</v>
      </c>
      <c r="F1208" s="8">
        <v>0.78</v>
      </c>
      <c r="H1208" s="11"/>
      <c r="I1208" s="11"/>
      <c r="J1208" s="11"/>
    </row>
    <row r="1209" spans="1:10" ht="15.75" x14ac:dyDescent="0.3">
      <c r="A1209" s="13" t="str">
        <f>HYPERLINK("https://parts-sales.ru/parts/MAN/36252455012","36.25245-5012")</f>
        <v>36.25245-5012</v>
      </c>
      <c r="B1209" s="13" t="str">
        <f>HYPERLINK("https://parts-sales.ru/parts/MAN/36252455012","Кронштейн задней фары")</f>
        <v>Кронштейн задней фары</v>
      </c>
      <c r="C1209" s="5" t="s">
        <v>16</v>
      </c>
      <c r="D1209" s="6">
        <v>6619.2</v>
      </c>
      <c r="E1209" s="6">
        <v>1430</v>
      </c>
      <c r="F1209" s="9">
        <v>0.78</v>
      </c>
      <c r="H1209" s="11"/>
      <c r="I1209" s="11"/>
      <c r="J1209" s="11"/>
    </row>
    <row r="1210" spans="1:10" ht="15.75" x14ac:dyDescent="0.3">
      <c r="A1210" s="12" t="str">
        <f>HYPERLINK("https://parts-sales.ru/parts/MAN/36252606005","36.25260-6005")</f>
        <v>36.25260-6005</v>
      </c>
      <c r="B1210" s="12" t="str">
        <f>HYPERLINK("https://parts-sales.ru/parts/MAN/36252606005","Габаритный фонарь")</f>
        <v>Габаритный фонарь</v>
      </c>
      <c r="C1210" s="3" t="s">
        <v>16</v>
      </c>
      <c r="D1210" s="4">
        <v>2437.1999999999998</v>
      </c>
      <c r="E1210" s="4">
        <v>1010</v>
      </c>
      <c r="F1210" s="8">
        <v>0.59</v>
      </c>
      <c r="H1210" s="11"/>
      <c r="I1210" s="11"/>
      <c r="J1210" s="11"/>
    </row>
    <row r="1211" spans="1:10" ht="15.75" x14ac:dyDescent="0.3">
      <c r="A1211" s="13" t="str">
        <f>HYPERLINK("https://parts-sales.ru/parts/MAN/36252606007","36.25260-6007")</f>
        <v>36.25260-6007</v>
      </c>
      <c r="B1211" s="13" t="str">
        <f>HYPERLINK("https://parts-sales.ru/parts/MAN/36252606007","Габаритный фонарь")</f>
        <v>Габаритный фонарь</v>
      </c>
      <c r="C1211" s="5" t="s">
        <v>16</v>
      </c>
      <c r="D1211" s="6">
        <v>12778.8</v>
      </c>
      <c r="E1211" s="6">
        <v>2980</v>
      </c>
      <c r="F1211" s="9">
        <v>0.77</v>
      </c>
      <c r="H1211" s="11"/>
      <c r="I1211" s="11"/>
      <c r="J1211" s="11"/>
    </row>
    <row r="1212" spans="1:10" ht="15.75" x14ac:dyDescent="0.3">
      <c r="A1212" s="12" t="str">
        <f>HYPERLINK("https://parts-sales.ru/parts/MAN/36254350015","36.25435-0015")</f>
        <v>36.25435-0015</v>
      </c>
      <c r="B1212" s="12" t="str">
        <f>HYPERLINK("https://parts-sales.ru/parts/MAN/36254350015","Корпус штекера 12-26X25,4-2,8-CODEB-C-GN")</f>
        <v>Корпус штекера 12-26X25,4-2,8-CODEB-C-GN</v>
      </c>
      <c r="C1212" s="3" t="s">
        <v>16</v>
      </c>
      <c r="D1212" s="4">
        <v>556.79999999999995</v>
      </c>
      <c r="E1212" s="4">
        <v>129</v>
      </c>
      <c r="F1212" s="8">
        <v>0.77</v>
      </c>
      <c r="H1212" s="11"/>
      <c r="I1212" s="11"/>
      <c r="J1212" s="11"/>
    </row>
    <row r="1213" spans="1:10" ht="15.75" x14ac:dyDescent="0.3">
      <c r="A1213" s="13" t="str">
        <f>HYPERLINK("https://parts-sales.ru/parts/MAN/36254350017","36.25435-0017")</f>
        <v>36.25435-0017</v>
      </c>
      <c r="B1213" s="13" t="str">
        <f>HYPERLINK("https://parts-sales.ru/parts/MAN/36254350017","Корпус штекера 18-36X25,4-2,8-CODEB-C-SW")</f>
        <v>Корпус штекера 18-36X25,4-2,8-CODEB-C-SW</v>
      </c>
      <c r="C1213" s="5" t="s">
        <v>16</v>
      </c>
      <c r="D1213" s="6">
        <v>790.8</v>
      </c>
      <c r="E1213" s="6">
        <v>178</v>
      </c>
      <c r="F1213" s="9">
        <v>0.77</v>
      </c>
      <c r="H1213" s="11"/>
      <c r="I1213" s="11"/>
      <c r="J1213" s="11"/>
    </row>
    <row r="1214" spans="1:10" ht="15.75" x14ac:dyDescent="0.3">
      <c r="A1214" s="12" t="str">
        <f>HYPERLINK("https://parts-sales.ru/parts/MAN/36254350052","36.25435-0052")</f>
        <v>36.25435-0052</v>
      </c>
      <c r="B1214" s="12" t="str">
        <f>HYPERLINK("https://parts-sales.ru/parts/MAN/36254350052","Корпус втулки 2-полюсный")</f>
        <v>Корпус втулки 2-полюсный</v>
      </c>
      <c r="C1214" s="3" t="s">
        <v>16</v>
      </c>
      <c r="D1214" s="4">
        <v>1065.5999999999999</v>
      </c>
      <c r="E1214" s="4">
        <v>106</v>
      </c>
      <c r="F1214" s="8">
        <v>0.9</v>
      </c>
      <c r="H1214" s="11"/>
      <c r="I1214" s="11"/>
      <c r="J1214" s="11"/>
    </row>
    <row r="1215" spans="1:10" ht="15.75" x14ac:dyDescent="0.3">
      <c r="A1215" s="13" t="str">
        <f>HYPERLINK("https://parts-sales.ru/parts/MAN/36254350054","36.25435-0054")</f>
        <v>36.25435-0054</v>
      </c>
      <c r="B1215" s="13" t="str">
        <f>HYPERLINK("https://parts-sales.ru/parts/MAN/36254350054","Корпус штепс. гильзы")</f>
        <v>Корпус штепс. гильзы</v>
      </c>
      <c r="C1215" s="5" t="s">
        <v>16</v>
      </c>
      <c r="D1215" s="6">
        <v>1009.2</v>
      </c>
      <c r="E1215" s="6">
        <v>235</v>
      </c>
      <c r="F1215" s="9">
        <v>0.77</v>
      </c>
      <c r="H1215" s="11"/>
      <c r="I1215" s="11"/>
      <c r="J1215" s="11"/>
    </row>
    <row r="1216" spans="1:10" ht="15.75" x14ac:dyDescent="0.3">
      <c r="A1216" s="12" t="str">
        <f>HYPERLINK("https://parts-sales.ru/parts/MAN/36254815001","36.25481-5001")</f>
        <v>36.25481-5001</v>
      </c>
      <c r="B1216" s="12" t="str">
        <f>HYPERLINK("https://parts-sales.ru/parts/MAN/36254815001","Кабельная линия Руевое колесо многоцелев")</f>
        <v>Кабельная линия Руевое колесо многоцелев</v>
      </c>
      <c r="C1216" s="3" t="s">
        <v>16</v>
      </c>
      <c r="D1216" s="4">
        <v>1749.6</v>
      </c>
      <c r="E1216" s="4">
        <v>481</v>
      </c>
      <c r="F1216" s="8">
        <v>0.73</v>
      </c>
      <c r="H1216" s="11"/>
      <c r="I1216" s="11"/>
      <c r="J1216" s="11"/>
    </row>
    <row r="1217" spans="1:10" ht="15.75" x14ac:dyDescent="0.3">
      <c r="A1217" s="13" t="str">
        <f>HYPERLINK("https://parts-sales.ru/parts/MAN/36255140036","36.25514-0036")</f>
        <v>36.25514-0036</v>
      </c>
      <c r="B1217" s="13" t="str">
        <f>HYPERLINK("https://parts-sales.ru/parts/MAN/36255140036","Пневмовыключатель 4,5BAR +-10% (OEFFNER)")</f>
        <v>Пневмовыключатель 4,5BAR +-10% (OEFFNER)</v>
      </c>
      <c r="C1217" s="5" t="s">
        <v>16</v>
      </c>
      <c r="D1217" s="6">
        <v>31162.799999999999</v>
      </c>
      <c r="E1217" s="6">
        <v>7229</v>
      </c>
      <c r="F1217" s="9">
        <v>0.77</v>
      </c>
      <c r="H1217" s="11"/>
      <c r="I1217" s="11"/>
      <c r="J1217" s="11"/>
    </row>
    <row r="1218" spans="1:10" ht="15.75" x14ac:dyDescent="0.3">
      <c r="A1218" s="12" t="str">
        <f>HYPERLINK("https://parts-sales.ru/parts/MAN/36255140038","36.25514-0038")</f>
        <v>36.25514-0038</v>
      </c>
      <c r="B1218" s="12" t="str">
        <f>HYPERLINK("https://parts-sales.ru/parts/MAN/36255140038","Выключатель низкого давления")</f>
        <v>Выключатель низкого давления</v>
      </c>
      <c r="C1218" s="3" t="s">
        <v>16</v>
      </c>
      <c r="D1218" s="4">
        <v>23449.200000000001</v>
      </c>
      <c r="E1218" s="4">
        <v>4814</v>
      </c>
      <c r="F1218" s="8">
        <v>0.79</v>
      </c>
      <c r="H1218" s="11"/>
      <c r="I1218" s="11"/>
      <c r="J1218" s="11"/>
    </row>
    <row r="1219" spans="1:10" ht="15.75" x14ac:dyDescent="0.3">
      <c r="A1219" s="13" t="str">
        <f>HYPERLINK("https://parts-sales.ru/parts/MAN/36258147007","36.25814-7007")</f>
        <v>36.25814-7007</v>
      </c>
      <c r="B1219" s="13" t="str">
        <f>HYPERLINK("https://parts-sales.ru/parts/MAN/36258147007","Прибор управления")</f>
        <v>Прибор управления</v>
      </c>
      <c r="C1219" s="5" t="s">
        <v>16</v>
      </c>
      <c r="D1219" s="6">
        <v>189843.87</v>
      </c>
      <c r="E1219" s="6">
        <v>79434</v>
      </c>
      <c r="F1219" s="9">
        <v>0.57999999999999996</v>
      </c>
      <c r="H1219" s="11"/>
      <c r="I1219" s="11"/>
      <c r="J1219" s="11"/>
    </row>
    <row r="1220" spans="1:10" ht="15.75" x14ac:dyDescent="0.3">
      <c r="A1220" s="12" t="str">
        <f>HYPERLINK("https://parts-sales.ru/parts/MAN/36259020042","36.25902-0042")</f>
        <v>36.25902-0042</v>
      </c>
      <c r="B1220" s="12" t="str">
        <f>HYPERLINK("https://parts-sales.ru/parts/MAN/36259020042","Реле 50A")</f>
        <v>Реле 50A</v>
      </c>
      <c r="C1220" s="3" t="s">
        <v>16</v>
      </c>
      <c r="D1220" s="4">
        <v>11538.95</v>
      </c>
      <c r="E1220" s="4">
        <v>5287</v>
      </c>
      <c r="F1220" s="8">
        <v>0.54</v>
      </c>
      <c r="H1220" s="11"/>
      <c r="I1220" s="11"/>
      <c r="J1220" s="11"/>
    </row>
    <row r="1221" spans="1:10" ht="15.75" x14ac:dyDescent="0.3">
      <c r="A1221" s="13" t="str">
        <f>HYPERLINK("https://parts-sales.ru/parts/MAN/36259070018","36.25907-0018")</f>
        <v>36.25907-0018</v>
      </c>
      <c r="B1221" s="13" t="str">
        <f>HYPERLINK("https://parts-sales.ru/parts/MAN/36259070018","Сопротивление")</f>
        <v>Сопротивление</v>
      </c>
      <c r="C1221" s="5" t="s">
        <v>16</v>
      </c>
      <c r="D1221" s="6">
        <v>32370</v>
      </c>
      <c r="E1221" s="6">
        <v>8675</v>
      </c>
      <c r="F1221" s="9">
        <v>0.73</v>
      </c>
      <c r="H1221" s="11"/>
      <c r="I1221" s="11"/>
      <c r="J1221" s="11"/>
    </row>
    <row r="1222" spans="1:10" ht="15.75" x14ac:dyDescent="0.3">
      <c r="A1222" s="12" t="str">
        <f>HYPERLINK("https://parts-sales.ru/parts/MAN/36259070019","36.25907-0019")</f>
        <v>36.25907-0019</v>
      </c>
      <c r="B1222" s="12" t="str">
        <f>HYPERLINK("https://parts-sales.ru/parts/MAN/36259070019","Сопротивление")</f>
        <v>Сопротивление</v>
      </c>
      <c r="C1222" s="3" t="s">
        <v>16</v>
      </c>
      <c r="D1222" s="4">
        <v>37490.400000000001</v>
      </c>
      <c r="E1222" s="4">
        <v>8448</v>
      </c>
      <c r="F1222" s="8">
        <v>0.77</v>
      </c>
      <c r="H1222" s="11"/>
      <c r="I1222" s="11"/>
      <c r="J1222" s="11"/>
    </row>
    <row r="1223" spans="1:10" ht="15.75" x14ac:dyDescent="0.3">
      <c r="A1223" s="13" t="str">
        <f>HYPERLINK("https://parts-sales.ru/parts/MAN/36259190000","36.25919-0000")</f>
        <v>36.25919-0000</v>
      </c>
      <c r="B1223" s="13" t="str">
        <f>HYPERLINK("https://parts-sales.ru/parts/MAN/36259190000","Датчик высоковольт. импульсов")</f>
        <v>Датчик высоковольт. импульсов</v>
      </c>
      <c r="C1223" s="5" t="s">
        <v>16</v>
      </c>
      <c r="D1223" s="6">
        <v>34826.400000000001</v>
      </c>
      <c r="E1223" s="6">
        <v>9000</v>
      </c>
      <c r="F1223" s="9">
        <v>0.74</v>
      </c>
      <c r="H1223" s="11"/>
      <c r="I1223" s="11"/>
      <c r="J1223" s="11"/>
    </row>
    <row r="1224" spans="1:10" ht="15.75" x14ac:dyDescent="0.3">
      <c r="A1224" s="12" t="str">
        <f>HYPERLINK("https://parts-sales.ru/parts/MAN/36259350013","36.25935-0013")</f>
        <v>36.25935-0013</v>
      </c>
      <c r="B1224" s="12" t="str">
        <f>HYPERLINK("https://parts-sales.ru/parts/MAN/36259350013","Прибор управления Видеосистема")</f>
        <v>Прибор управления Видеосистема</v>
      </c>
      <c r="C1224" s="3" t="s">
        <v>16</v>
      </c>
      <c r="D1224" s="4">
        <v>149801.66</v>
      </c>
      <c r="E1224" s="4">
        <v>62502</v>
      </c>
      <c r="F1224" s="8">
        <v>0.57999999999999996</v>
      </c>
      <c r="H1224" s="11"/>
      <c r="I1224" s="11"/>
      <c r="J1224" s="11"/>
    </row>
    <row r="1225" spans="1:10" ht="15.75" x14ac:dyDescent="0.3">
      <c r="A1225" s="13" t="str">
        <f>HYPERLINK("https://parts-sales.ru/parts/MAN/36259370019","36.25937-0019")</f>
        <v>36.25937-0019</v>
      </c>
      <c r="B1225" s="13" t="str">
        <f>HYPERLINK("https://parts-sales.ru/parts/MAN/36259370019","Сенсор")</f>
        <v>Сенсор</v>
      </c>
      <c r="C1225" s="5" t="s">
        <v>16</v>
      </c>
      <c r="D1225" s="6">
        <v>58075.199999999997</v>
      </c>
      <c r="E1225" s="6">
        <v>12082</v>
      </c>
      <c r="F1225" s="9">
        <v>0.79</v>
      </c>
      <c r="H1225" s="11"/>
      <c r="I1225" s="11"/>
      <c r="J1225" s="11"/>
    </row>
    <row r="1226" spans="1:10" ht="15.75" x14ac:dyDescent="0.3">
      <c r="A1226" s="12" t="str">
        <f>HYPERLINK("https://parts-sales.ru/parts/MAN/36264306002","36.26430-6002")</f>
        <v>36.26430-6002</v>
      </c>
      <c r="B1226" s="12" t="str">
        <f>HYPERLINK("https://parts-sales.ru/parts/MAN/36264306002","Спица стеклоочистителя")</f>
        <v>Спица стеклоочистителя</v>
      </c>
      <c r="C1226" s="3" t="s">
        <v>16</v>
      </c>
      <c r="D1226" s="4">
        <v>40914</v>
      </c>
      <c r="E1226" s="4">
        <v>10910</v>
      </c>
      <c r="F1226" s="8">
        <v>0.73</v>
      </c>
      <c r="H1226" s="11"/>
      <c r="I1226" s="11"/>
      <c r="J1226" s="11"/>
    </row>
    <row r="1227" spans="1:10" ht="15.75" x14ac:dyDescent="0.3">
      <c r="A1227" s="13" t="str">
        <f>HYPERLINK("https://parts-sales.ru/parts/MAN/36264306003","36.26430-6003")</f>
        <v>36.26430-6003</v>
      </c>
      <c r="B1227" s="13" t="str">
        <f>HYPERLINK("https://parts-sales.ru/parts/MAN/36264306003","Спица стеклоочистителя")</f>
        <v>Спица стеклоочистителя</v>
      </c>
      <c r="C1227" s="5" t="s">
        <v>16</v>
      </c>
      <c r="D1227" s="6">
        <v>40914</v>
      </c>
      <c r="E1227" s="6">
        <v>10910</v>
      </c>
      <c r="F1227" s="9">
        <v>0.73</v>
      </c>
      <c r="H1227" s="11"/>
      <c r="I1227" s="11"/>
      <c r="J1227" s="11"/>
    </row>
    <row r="1228" spans="1:10" ht="15.75" x14ac:dyDescent="0.3">
      <c r="A1228" s="12" t="str">
        <f>HYPERLINK("https://parts-sales.ru/parts/MAN/36264306007","36.26430-6007")</f>
        <v>36.26430-6007</v>
      </c>
      <c r="B1228" s="12" t="str">
        <f>HYPERLINK("https://parts-sales.ru/parts/MAN/36264306007","Спица стеклоочистителя")</f>
        <v>Спица стеклоочистителя</v>
      </c>
      <c r="C1228" s="3" t="s">
        <v>16</v>
      </c>
      <c r="D1228" s="4">
        <v>165962.4</v>
      </c>
      <c r="E1228" s="4">
        <v>31424</v>
      </c>
      <c r="F1228" s="8">
        <v>0.81</v>
      </c>
      <c r="H1228" s="11"/>
      <c r="I1228" s="11"/>
      <c r="J1228" s="11"/>
    </row>
    <row r="1229" spans="1:10" ht="15.75" x14ac:dyDescent="0.3">
      <c r="A1229" s="13" t="str">
        <f>HYPERLINK("https://parts-sales.ru/parts/MAN/36276406003","36.27640-6003")</f>
        <v>36.27640-6003</v>
      </c>
      <c r="B1229" s="13" t="str">
        <f>HYPERLINK("https://parts-sales.ru/parts/MAN/36276406003","Держатель")</f>
        <v>Держатель</v>
      </c>
      <c r="C1229" s="5" t="s">
        <v>16</v>
      </c>
      <c r="D1229" s="6">
        <v>2989.2</v>
      </c>
      <c r="E1229" s="6">
        <v>588</v>
      </c>
      <c r="F1229" s="9">
        <v>0.8</v>
      </c>
      <c r="H1229" s="11"/>
      <c r="I1229" s="11"/>
      <c r="J1229" s="11"/>
    </row>
    <row r="1230" spans="1:10" ht="15.75" x14ac:dyDescent="0.3">
      <c r="A1230" s="12" t="str">
        <f>HYPERLINK("https://parts-sales.ru/parts/MAN/36305400000","36.30540-0000")</f>
        <v>36.30540-0000</v>
      </c>
      <c r="B1230" s="12" t="str">
        <f>HYPERLINK("https://parts-sales.ru/parts/MAN/36305400000","Втулка")</f>
        <v>Втулка</v>
      </c>
      <c r="C1230" s="3" t="s">
        <v>16</v>
      </c>
      <c r="D1230" s="4">
        <v>3531.6</v>
      </c>
      <c r="E1230" s="4">
        <v>278</v>
      </c>
      <c r="F1230" s="8">
        <v>0.92</v>
      </c>
      <c r="H1230" s="11"/>
      <c r="I1230" s="11"/>
      <c r="J1230" s="11"/>
    </row>
    <row r="1231" spans="1:10" ht="15.75" x14ac:dyDescent="0.3">
      <c r="A1231" s="13" t="str">
        <f>HYPERLINK("https://parts-sales.ru/parts/MAN/36305400001","36.30540-0001")</f>
        <v>36.30540-0001</v>
      </c>
      <c r="B1231" s="13" t="str">
        <f>HYPERLINK("https://parts-sales.ru/parts/MAN/36305400001","Сферический вкладыш")</f>
        <v>Сферический вкладыш</v>
      </c>
      <c r="C1231" s="5" t="s">
        <v>16</v>
      </c>
      <c r="D1231" s="6">
        <v>3296.4</v>
      </c>
      <c r="E1231" s="6">
        <v>662</v>
      </c>
      <c r="F1231" s="9">
        <v>0.8</v>
      </c>
      <c r="H1231" s="11"/>
      <c r="I1231" s="11"/>
      <c r="J1231" s="11"/>
    </row>
    <row r="1232" spans="1:10" ht="15.75" x14ac:dyDescent="0.3">
      <c r="A1232" s="12" t="str">
        <f>HYPERLINK("https://parts-sales.ru/parts/MAN/36305600002","36.30560-0002")</f>
        <v>36.30560-0002</v>
      </c>
      <c r="B1232" s="12" t="str">
        <f>HYPERLINK("https://parts-sales.ru/parts/MAN/36305600002","Расцепляющая вилка")</f>
        <v>Расцепляющая вилка</v>
      </c>
      <c r="C1232" s="3" t="s">
        <v>16</v>
      </c>
      <c r="D1232" s="4">
        <v>43242</v>
      </c>
      <c r="E1232" s="4">
        <v>17859</v>
      </c>
      <c r="F1232" s="8">
        <v>0.59</v>
      </c>
      <c r="H1232" s="11"/>
      <c r="I1232" s="11"/>
      <c r="J1232" s="11"/>
    </row>
    <row r="1233" spans="1:10" ht="15.75" x14ac:dyDescent="0.3">
      <c r="A1233" s="13" t="str">
        <f>HYPERLINK("https://parts-sales.ru/parts/MAN/36429500002","36.42950-0002")</f>
        <v>36.42950-0002</v>
      </c>
      <c r="B1233" s="13" t="str">
        <f>HYPERLINK("https://parts-sales.ru/parts/MAN/36429500002","Катафот")</f>
        <v>Катафот</v>
      </c>
      <c r="C1233" s="5" t="s">
        <v>16</v>
      </c>
      <c r="D1233" s="6">
        <v>656.4</v>
      </c>
      <c r="E1233" s="6">
        <v>157</v>
      </c>
      <c r="F1233" s="9">
        <v>0.76</v>
      </c>
      <c r="H1233" s="11"/>
      <c r="I1233" s="11"/>
      <c r="J1233" s="11"/>
    </row>
    <row r="1234" spans="1:10" ht="15.75" x14ac:dyDescent="0.3">
      <c r="A1234" s="12" t="str">
        <f>HYPERLINK("https://parts-sales.ru/parts/MAN/36432400003","36.43240-0003")</f>
        <v>36.43240-0003</v>
      </c>
      <c r="B1234" s="12" t="str">
        <f>HYPERLINK("https://parts-sales.ru/parts/MAN/36432400003","Шайба")</f>
        <v>Шайба</v>
      </c>
      <c r="C1234" s="3" t="s">
        <v>16</v>
      </c>
      <c r="D1234" s="4">
        <v>1503.6</v>
      </c>
      <c r="E1234" s="4">
        <v>117</v>
      </c>
      <c r="F1234" s="8">
        <v>0.92</v>
      </c>
      <c r="H1234" s="11"/>
      <c r="I1234" s="11"/>
      <c r="J1234" s="11"/>
    </row>
    <row r="1235" spans="1:10" ht="15.75" x14ac:dyDescent="0.3">
      <c r="A1235" s="13" t="str">
        <f>HYPERLINK("https://parts-sales.ru/parts/MAN/36437016037","36.43701-6037")</f>
        <v>36.43701-6037</v>
      </c>
      <c r="B1235" s="13" t="str">
        <f>HYPERLINK("https://parts-sales.ru/parts/MAN/36437016037","Амортизатор NV36X180HAWN")</f>
        <v>Амортизатор NV36X180HAWN</v>
      </c>
      <c r="C1235" s="5" t="s">
        <v>16</v>
      </c>
      <c r="D1235" s="6">
        <v>50654.400000000001</v>
      </c>
      <c r="E1235" s="6">
        <v>12221</v>
      </c>
      <c r="F1235" s="9">
        <v>0.76</v>
      </c>
      <c r="H1235" s="11"/>
      <c r="I1235" s="11"/>
      <c r="J1235" s="11"/>
    </row>
    <row r="1236" spans="1:10" ht="15.75" x14ac:dyDescent="0.3">
      <c r="A1236" s="12" t="str">
        <f>HYPERLINK("https://parts-sales.ru/parts/MAN/36466106001","36.46610-6001")</f>
        <v>36.46610-6001</v>
      </c>
      <c r="B1236" s="12" t="str">
        <f>HYPERLINK("https://parts-sales.ru/parts/MAN/36466106001","Продольная рулевая тяга")</f>
        <v>Продольная рулевая тяга</v>
      </c>
      <c r="C1236" s="3" t="s">
        <v>16</v>
      </c>
      <c r="D1236" s="4">
        <v>139308.24</v>
      </c>
      <c r="E1236" s="4">
        <v>58289</v>
      </c>
      <c r="F1236" s="8">
        <v>0.57999999999999996</v>
      </c>
      <c r="H1236" s="11"/>
      <c r="I1236" s="11"/>
      <c r="J1236" s="11"/>
    </row>
    <row r="1237" spans="1:10" ht="15.75" x14ac:dyDescent="0.3">
      <c r="A1237" s="13" t="str">
        <f>HYPERLINK("https://parts-sales.ru/parts/MAN/36466106033","36.46610-6033")</f>
        <v>36.46610-6033</v>
      </c>
      <c r="B1237" s="13" t="str">
        <f>HYPERLINK("https://parts-sales.ru/parts/MAN/36466106033","Продольная рулевая тяга TRW")</f>
        <v>Продольная рулевая тяга TRW</v>
      </c>
      <c r="C1237" s="5" t="s">
        <v>16</v>
      </c>
      <c r="D1237" s="6">
        <v>56868</v>
      </c>
      <c r="E1237" s="6">
        <v>11625</v>
      </c>
      <c r="F1237" s="9">
        <v>0.8</v>
      </c>
      <c r="H1237" s="11"/>
      <c r="I1237" s="11"/>
      <c r="J1237" s="11"/>
    </row>
    <row r="1238" spans="1:10" ht="15.75" x14ac:dyDescent="0.3">
      <c r="A1238" s="12" t="str">
        <f>HYPERLINK("https://parts-sales.ru/parts/MAN/36521166003","36.52116-6003")</f>
        <v>36.52116-6003</v>
      </c>
      <c r="B1238" s="12" t="str">
        <f>HYPERLINK("https://parts-sales.ru/parts/MAN/36521166003","Клапан реле Глушитель")</f>
        <v>Клапан реле Глушитель</v>
      </c>
      <c r="C1238" s="3" t="s">
        <v>16</v>
      </c>
      <c r="D1238" s="4">
        <v>3494.4</v>
      </c>
      <c r="E1238" s="4">
        <v>867</v>
      </c>
      <c r="F1238" s="8">
        <v>0.75</v>
      </c>
      <c r="H1238" s="11"/>
      <c r="I1238" s="11"/>
      <c r="J1238" s="11"/>
    </row>
    <row r="1239" spans="1:10" ht="15.75" x14ac:dyDescent="0.3">
      <c r="A1239" s="13" t="str">
        <f>HYPERLINK("https://parts-sales.ru/parts/MAN/36623056050","36.62305-6050")</f>
        <v>36.62305-6050</v>
      </c>
      <c r="B1239" s="13" t="str">
        <f>HYPERLINK("https://parts-sales.ru/parts/MAN/36623056050","Тазовый ремень")</f>
        <v>Тазовый ремень</v>
      </c>
      <c r="C1239" s="5" t="s">
        <v>16</v>
      </c>
      <c r="D1239" s="6">
        <v>26125.200000000001</v>
      </c>
      <c r="E1239" s="6">
        <v>6525</v>
      </c>
      <c r="F1239" s="9">
        <v>0.75</v>
      </c>
      <c r="H1239" s="11"/>
      <c r="I1239" s="11"/>
      <c r="J1239" s="11"/>
    </row>
    <row r="1240" spans="1:10" ht="15.75" x14ac:dyDescent="0.3">
      <c r="A1240" s="12" t="str">
        <f>HYPERLINK("https://parts-sales.ru/parts/MAN/36623056069","36.62305-6069")</f>
        <v>36.62305-6069</v>
      </c>
      <c r="B1240" s="12" t="str">
        <f>HYPERLINK("https://parts-sales.ru/parts/MAN/36623056069","Замок ремня безопасности Комплект переде")</f>
        <v>Замок ремня безопасности Комплект переде</v>
      </c>
      <c r="C1240" s="3" t="s">
        <v>16</v>
      </c>
      <c r="D1240" s="4">
        <v>31549.200000000001</v>
      </c>
      <c r="E1240" s="4">
        <v>6397</v>
      </c>
      <c r="F1240" s="8">
        <v>0.8</v>
      </c>
      <c r="H1240" s="11"/>
      <c r="I1240" s="11"/>
      <c r="J1240" s="11"/>
    </row>
    <row r="1241" spans="1:10" ht="15.75" x14ac:dyDescent="0.3">
      <c r="A1241" s="13" t="str">
        <f>HYPERLINK("https://parts-sales.ru/parts/MAN/36637320014","36.63732-0014")</f>
        <v>36.63732-0014</v>
      </c>
      <c r="B1241" s="13" t="str">
        <f>HYPERLINK("https://parts-sales.ru/parts/MAN/36637320014","Корпус зеркала Широкоугольное зеркало")</f>
        <v>Корпус зеркала Широкоугольное зеркало</v>
      </c>
      <c r="C1241" s="5" t="s">
        <v>16</v>
      </c>
      <c r="D1241" s="6">
        <v>8584.7999999999993</v>
      </c>
      <c r="E1241" s="6">
        <v>2211</v>
      </c>
      <c r="F1241" s="9">
        <v>0.74</v>
      </c>
      <c r="H1241" s="11"/>
      <c r="I1241" s="11"/>
      <c r="J1241" s="11"/>
    </row>
    <row r="1242" spans="1:10" ht="15.75" x14ac:dyDescent="0.3">
      <c r="A1242" s="12" t="str">
        <f>HYPERLINK("https://parts-sales.ru/parts/MAN/36700062550","36.70006-2550")</f>
        <v>36.70006-2550</v>
      </c>
      <c r="B1242" s="12" t="str">
        <f>HYPERLINK("https://parts-sales.ru/parts/MAN/36700062550","Стальная труба прямоуг. сеч. 40X20X1,5X2")</f>
        <v>Стальная труба прямоуг. сеч. 40X20X1,5X2</v>
      </c>
      <c r="C1242" s="3" t="s">
        <v>16</v>
      </c>
      <c r="D1242" s="4">
        <v>4106.3999999999996</v>
      </c>
      <c r="E1242" s="4">
        <v>797</v>
      </c>
      <c r="F1242" s="8">
        <v>0.81</v>
      </c>
      <c r="H1242" s="11"/>
      <c r="I1242" s="11"/>
      <c r="J1242" s="11"/>
    </row>
    <row r="1243" spans="1:10" ht="15.75" x14ac:dyDescent="0.3">
      <c r="A1243" s="13" t="str">
        <f>HYPERLINK("https://parts-sales.ru/parts/MAN/36710012131","36.71001-2131")</f>
        <v>36.71001-2131</v>
      </c>
      <c r="B1243" s="13" t="str">
        <f>HYPERLINK("https://parts-sales.ru/parts/MAN/36710012131","Въездной скат/рельс")</f>
        <v>Въездной скат/рельс</v>
      </c>
      <c r="C1243" s="5" t="s">
        <v>16</v>
      </c>
      <c r="D1243" s="6">
        <v>4519.2</v>
      </c>
      <c r="E1243" s="6">
        <v>918</v>
      </c>
      <c r="F1243" s="9">
        <v>0.8</v>
      </c>
      <c r="H1243" s="11"/>
      <c r="I1243" s="11"/>
      <c r="J1243" s="11"/>
    </row>
    <row r="1244" spans="1:10" ht="15.75" x14ac:dyDescent="0.3">
      <c r="A1244" s="12" t="str">
        <f>HYPERLINK("https://parts-sales.ru/parts/MAN/36720100396","36.72010-0396")</f>
        <v>36.72010-0396</v>
      </c>
      <c r="B1244" s="12" t="str">
        <f>HYPERLINK("https://parts-sales.ru/parts/MAN/36720100396","Лист")</f>
        <v>Лист</v>
      </c>
      <c r="C1244" s="3" t="s">
        <v>16</v>
      </c>
      <c r="D1244" s="4">
        <v>21748.799999999999</v>
      </c>
      <c r="E1244" s="4">
        <v>4210</v>
      </c>
      <c r="F1244" s="8">
        <v>0.81</v>
      </c>
      <c r="H1244" s="11"/>
      <c r="I1244" s="11"/>
      <c r="J1244" s="11"/>
    </row>
    <row r="1245" spans="1:10" ht="15.75" x14ac:dyDescent="0.3">
      <c r="A1245" s="13" t="str">
        <f>HYPERLINK("https://parts-sales.ru/parts/MAN/36721014052","36.72101-4052")</f>
        <v>36.72101-4052</v>
      </c>
      <c r="B1245" s="13" t="str">
        <f>HYPERLINK("https://parts-sales.ru/parts/MAN/36721014052","Плата")</f>
        <v>Плата</v>
      </c>
      <c r="C1245" s="5" t="s">
        <v>16</v>
      </c>
      <c r="D1245" s="6">
        <v>3852</v>
      </c>
      <c r="E1245" s="6">
        <v>787</v>
      </c>
      <c r="F1245" s="9">
        <v>0.8</v>
      </c>
      <c r="H1245" s="11"/>
      <c r="I1245" s="11"/>
      <c r="J1245" s="11"/>
    </row>
    <row r="1246" spans="1:10" ht="15.75" x14ac:dyDescent="0.3">
      <c r="A1246" s="12" t="str">
        <f>HYPERLINK("https://parts-sales.ru/parts/MAN/36722012238","36.72201-2238")</f>
        <v>36.72201-2238</v>
      </c>
      <c r="B1246" s="12" t="str">
        <f>HYPERLINK("https://parts-sales.ru/parts/MAN/36722012238","Держатель")</f>
        <v>Держатель</v>
      </c>
      <c r="C1246" s="3" t="s">
        <v>16</v>
      </c>
      <c r="D1246" s="4">
        <v>6499.2</v>
      </c>
      <c r="E1246" s="4">
        <v>1299</v>
      </c>
      <c r="F1246" s="8">
        <v>0.8</v>
      </c>
      <c r="H1246" s="11"/>
      <c r="I1246" s="11"/>
      <c r="J1246" s="11"/>
    </row>
    <row r="1247" spans="1:10" ht="15.75" x14ac:dyDescent="0.3">
      <c r="A1247" s="13" t="str">
        <f>HYPERLINK("https://parts-sales.ru/parts/MAN/36722014209","36.72201-4209")</f>
        <v>36.72201-4209</v>
      </c>
      <c r="B1247" s="13" t="str">
        <f>HYPERLINK("https://parts-sales.ru/parts/MAN/36722014209","Держатель низ")</f>
        <v>Держатель низ</v>
      </c>
      <c r="C1247" s="5" t="s">
        <v>16</v>
      </c>
      <c r="D1247" s="6">
        <v>4312.8</v>
      </c>
      <c r="E1247" s="6">
        <v>869</v>
      </c>
      <c r="F1247" s="9">
        <v>0.8</v>
      </c>
      <c r="H1247" s="11"/>
      <c r="I1247" s="11"/>
      <c r="J1247" s="11"/>
    </row>
    <row r="1248" spans="1:10" ht="15.75" x14ac:dyDescent="0.3">
      <c r="A1248" s="12" t="str">
        <f>HYPERLINK("https://parts-sales.ru/parts/MAN/36723012202","36.72301-2202")</f>
        <v>36.72301-2202</v>
      </c>
      <c r="B1248" s="12" t="str">
        <f>HYPERLINK("https://parts-sales.ru/parts/MAN/36723012202","Распорка")</f>
        <v>Распорка</v>
      </c>
      <c r="C1248" s="3" t="s">
        <v>16</v>
      </c>
      <c r="D1248" s="4">
        <v>10147.200000000001</v>
      </c>
      <c r="E1248" s="4">
        <v>2356</v>
      </c>
      <c r="F1248" s="8">
        <v>0.77</v>
      </c>
      <c r="H1248" s="11"/>
      <c r="I1248" s="11"/>
      <c r="J1248" s="11"/>
    </row>
    <row r="1249" spans="1:10" ht="15.75" x14ac:dyDescent="0.3">
      <c r="A1249" s="13" t="str">
        <f>HYPERLINK("https://parts-sales.ru/parts/MAN/36731200012","36.73120-0012")</f>
        <v>36.73120-0012</v>
      </c>
      <c r="B1249" s="13" t="str">
        <f>HYPERLINK("https://parts-sales.ru/parts/MAN/36731200012","Ограничитель")</f>
        <v>Ограничитель</v>
      </c>
      <c r="C1249" s="5" t="s">
        <v>16</v>
      </c>
      <c r="D1249" s="6">
        <v>3145.2</v>
      </c>
      <c r="E1249" s="6">
        <v>275</v>
      </c>
      <c r="F1249" s="9">
        <v>0.91</v>
      </c>
      <c r="H1249" s="11"/>
      <c r="I1249" s="11"/>
      <c r="J1249" s="11"/>
    </row>
    <row r="1250" spans="1:10" ht="15.75" x14ac:dyDescent="0.3">
      <c r="A1250" s="12" t="str">
        <f>HYPERLINK("https://parts-sales.ru/parts/MAN/36732015019","36.73201-5019")</f>
        <v>36.73201-5019</v>
      </c>
      <c r="B1250" s="12" t="str">
        <f>HYPERLINK("https://parts-sales.ru/parts/MAN/36732015019","Боковая часть амортизатора")</f>
        <v>Боковая часть амортизатора</v>
      </c>
      <c r="C1250" s="3" t="s">
        <v>16</v>
      </c>
      <c r="D1250" s="4">
        <v>127334.39999999999</v>
      </c>
      <c r="E1250" s="4">
        <v>22081</v>
      </c>
      <c r="F1250" s="8">
        <v>0.83</v>
      </c>
      <c r="H1250" s="11"/>
      <c r="I1250" s="11"/>
      <c r="J1250" s="11"/>
    </row>
    <row r="1251" spans="1:10" ht="15.75" x14ac:dyDescent="0.3">
      <c r="A1251" s="13" t="str">
        <f>HYPERLINK("https://parts-sales.ru/parts/MAN/36732015023","36.73201-5023")</f>
        <v>36.73201-5023</v>
      </c>
      <c r="B1251" s="13" t="str">
        <f>HYPERLINK("https://parts-sales.ru/parts/MAN/36732015023","Держатель")</f>
        <v>Держатель</v>
      </c>
      <c r="C1251" s="5" t="s">
        <v>16</v>
      </c>
      <c r="D1251" s="6">
        <v>10276.799999999999</v>
      </c>
      <c r="E1251" s="6">
        <v>2724</v>
      </c>
      <c r="F1251" s="9">
        <v>0.73</v>
      </c>
      <c r="H1251" s="11"/>
      <c r="I1251" s="11"/>
      <c r="J1251" s="11"/>
    </row>
    <row r="1252" spans="1:10" ht="15.75" x14ac:dyDescent="0.3">
      <c r="A1252" s="12" t="str">
        <f>HYPERLINK("https://parts-sales.ru/parts/MAN/36732015134","36.73201-5134")</f>
        <v>36.73201-5134</v>
      </c>
      <c r="B1252" s="12" t="str">
        <f>HYPERLINK("https://parts-sales.ru/parts/MAN/36732015134","Заслонка")</f>
        <v>Заслонка</v>
      </c>
      <c r="C1252" s="3" t="s">
        <v>16</v>
      </c>
      <c r="D1252" s="4">
        <v>29904</v>
      </c>
      <c r="E1252" s="4">
        <v>6260</v>
      </c>
      <c r="F1252" s="8">
        <v>0.79</v>
      </c>
      <c r="H1252" s="11"/>
      <c r="I1252" s="11"/>
      <c r="J1252" s="11"/>
    </row>
    <row r="1253" spans="1:10" ht="15.75" x14ac:dyDescent="0.3">
      <c r="A1253" s="13" t="str">
        <f>HYPERLINK("https://parts-sales.ru/parts/MAN/36732032201","36.73203-2201")</f>
        <v>36.73203-2201</v>
      </c>
      <c r="B1253" s="13" t="str">
        <f>HYPERLINK("https://parts-sales.ru/parts/MAN/36732032201","Вентиляционная решетка")</f>
        <v>Вентиляционная решетка</v>
      </c>
      <c r="C1253" s="5" t="s">
        <v>16</v>
      </c>
      <c r="D1253" s="6">
        <v>46009.2</v>
      </c>
      <c r="E1253" s="6">
        <v>10696</v>
      </c>
      <c r="F1253" s="9">
        <v>0.77</v>
      </c>
      <c r="H1253" s="11"/>
      <c r="I1253" s="11"/>
      <c r="J1253" s="11"/>
    </row>
    <row r="1254" spans="1:10" ht="15.75" x14ac:dyDescent="0.3">
      <c r="A1254" s="12" t="str">
        <f>HYPERLINK("https://parts-sales.ru/parts/MAN/36732032202","36.73203-2202")</f>
        <v>36.73203-2202</v>
      </c>
      <c r="B1254" s="12" t="str">
        <f>HYPERLINK("https://parts-sales.ru/parts/MAN/36732032202","Угольник")</f>
        <v>Угольник</v>
      </c>
      <c r="C1254" s="3" t="s">
        <v>16</v>
      </c>
      <c r="D1254" s="4">
        <v>3073.2</v>
      </c>
      <c r="E1254" s="4">
        <v>725</v>
      </c>
      <c r="F1254" s="8">
        <v>0.76</v>
      </c>
      <c r="H1254" s="11"/>
      <c r="I1254" s="11"/>
      <c r="J1254" s="11"/>
    </row>
    <row r="1255" spans="1:10" ht="15.75" x14ac:dyDescent="0.3">
      <c r="A1255" s="13" t="str">
        <f>HYPERLINK("https://parts-sales.ru/parts/MAN/36732035048","36.73203-5048")</f>
        <v>36.73203-5048</v>
      </c>
      <c r="B1255" s="13" t="str">
        <f>HYPERLINK("https://parts-sales.ru/parts/MAN/36732035048","Держатель")</f>
        <v>Держатель</v>
      </c>
      <c r="C1255" s="5" t="s">
        <v>16</v>
      </c>
      <c r="D1255" s="6">
        <v>2745.6</v>
      </c>
      <c r="E1255" s="6">
        <v>636</v>
      </c>
      <c r="F1255" s="9">
        <v>0.77</v>
      </c>
      <c r="H1255" s="11"/>
      <c r="I1255" s="11"/>
      <c r="J1255" s="11"/>
    </row>
    <row r="1256" spans="1:10" ht="15.75" x14ac:dyDescent="0.3">
      <c r="A1256" s="12" t="str">
        <f>HYPERLINK("https://parts-sales.ru/parts/MAN/36735012145","36.73501-2145")</f>
        <v>36.73501-2145</v>
      </c>
      <c r="B1256" s="12" t="str">
        <f>HYPERLINK("https://parts-sales.ru/parts/MAN/36735012145","Габаритный фонарь")</f>
        <v>Габаритный фонарь</v>
      </c>
      <c r="C1256" s="3" t="s">
        <v>16</v>
      </c>
      <c r="D1256" s="4">
        <v>6146.4</v>
      </c>
      <c r="E1256" s="4">
        <v>1179</v>
      </c>
      <c r="F1256" s="8">
        <v>0.81</v>
      </c>
      <c r="H1256" s="11"/>
      <c r="I1256" s="11"/>
      <c r="J1256" s="11"/>
    </row>
    <row r="1257" spans="1:10" ht="15.75" x14ac:dyDescent="0.3">
      <c r="A1257" s="13" t="str">
        <f>HYPERLINK("https://parts-sales.ru/parts/MAN/36742806002","36.74280-6002")</f>
        <v>36.74280-6002</v>
      </c>
      <c r="B1257" s="13" t="str">
        <f>HYPERLINK("https://parts-sales.ru/parts/MAN/36742806002","Замок двери")</f>
        <v>Замок двери</v>
      </c>
      <c r="C1257" s="5" t="s">
        <v>16</v>
      </c>
      <c r="D1257" s="6">
        <v>66951.600000000006</v>
      </c>
      <c r="E1257" s="6">
        <v>15503</v>
      </c>
      <c r="F1257" s="9">
        <v>0.77</v>
      </c>
      <c r="H1257" s="11"/>
      <c r="I1257" s="11"/>
      <c r="J1257" s="11"/>
    </row>
    <row r="1258" spans="1:10" ht="15.75" x14ac:dyDescent="0.3">
      <c r="A1258" s="12" t="str">
        <f>HYPERLINK("https://parts-sales.ru/parts/MAN/36742806003","36.74280-6003")</f>
        <v>36.74280-6003</v>
      </c>
      <c r="B1258" s="12" t="str">
        <f>HYPERLINK("https://parts-sales.ru/parts/MAN/36742806003","Замок двери")</f>
        <v>Замок двери</v>
      </c>
      <c r="C1258" s="3" t="s">
        <v>16</v>
      </c>
      <c r="D1258" s="4">
        <v>66951.600000000006</v>
      </c>
      <c r="E1258" s="4">
        <v>15503</v>
      </c>
      <c r="F1258" s="8">
        <v>0.77</v>
      </c>
      <c r="H1258" s="11"/>
      <c r="I1258" s="11"/>
      <c r="J1258" s="11"/>
    </row>
    <row r="1259" spans="1:10" ht="15.75" x14ac:dyDescent="0.3">
      <c r="A1259" s="13" t="str">
        <f>HYPERLINK("https://parts-sales.ru/parts/MAN/36744406010","36.74440-6010")</f>
        <v>36.74440-6010</v>
      </c>
      <c r="B1259" s="13" t="str">
        <f>HYPERLINK("https://parts-sales.ru/parts/MAN/36744406010","Кожух RAL 5008")</f>
        <v>Кожух RAL 5008</v>
      </c>
      <c r="C1259" s="5" t="s">
        <v>16</v>
      </c>
      <c r="D1259" s="6">
        <v>4764</v>
      </c>
      <c r="E1259" s="6">
        <v>960</v>
      </c>
      <c r="F1259" s="9">
        <v>0.8</v>
      </c>
      <c r="H1259" s="11"/>
      <c r="I1259" s="11"/>
      <c r="J1259" s="11"/>
    </row>
    <row r="1260" spans="1:10" ht="15.75" x14ac:dyDescent="0.3">
      <c r="A1260" s="12" t="str">
        <f>HYPERLINK("https://parts-sales.ru/parts/MAN/36748015175","36.74801-5175")</f>
        <v>36.74801-5175</v>
      </c>
      <c r="B1260" s="12" t="str">
        <f>HYPERLINK("https://parts-sales.ru/parts/MAN/36748015175","Откид. крышка для обслуживания")</f>
        <v>Откид. крышка для обслуживания</v>
      </c>
      <c r="C1260" s="3" t="s">
        <v>16</v>
      </c>
      <c r="D1260" s="4">
        <v>167535.6</v>
      </c>
      <c r="E1260" s="4">
        <v>51038</v>
      </c>
      <c r="F1260" s="8">
        <v>0.7</v>
      </c>
      <c r="H1260" s="11"/>
      <c r="I1260" s="11"/>
      <c r="J1260" s="11"/>
    </row>
    <row r="1261" spans="1:10" ht="15.75" x14ac:dyDescent="0.3">
      <c r="A1261" s="13" t="str">
        <f>HYPERLINK("https://parts-sales.ru/parts/MAN/36748400108","36.74840-0108")</f>
        <v>36.74840-0108</v>
      </c>
      <c r="B1261" s="13" t="str">
        <f>HYPERLINK("https://parts-sales.ru/parts/MAN/36748400108","Стопорный угол")</f>
        <v>Стопорный угол</v>
      </c>
      <c r="C1261" s="5" t="s">
        <v>16</v>
      </c>
      <c r="D1261" s="6">
        <v>1749.6</v>
      </c>
      <c r="E1261" s="6">
        <v>313</v>
      </c>
      <c r="F1261" s="9">
        <v>0.82</v>
      </c>
      <c r="H1261" s="11"/>
      <c r="I1261" s="11"/>
      <c r="J1261" s="11"/>
    </row>
    <row r="1262" spans="1:10" ht="15.75" x14ac:dyDescent="0.3">
      <c r="A1262" s="12" t="str">
        <f>HYPERLINK("https://parts-sales.ru/parts/MAN/36749200001","36.74920-0001")</f>
        <v>36.74920-0001</v>
      </c>
      <c r="B1262" s="12" t="str">
        <f>HYPERLINK("https://parts-sales.ru/parts/MAN/36749200001","3/2-ходовой клапан")</f>
        <v>3/2-ходовой клапан</v>
      </c>
      <c r="C1262" s="3" t="s">
        <v>16</v>
      </c>
      <c r="D1262" s="4">
        <v>35047.199999999997</v>
      </c>
      <c r="E1262" s="4">
        <v>7615</v>
      </c>
      <c r="F1262" s="8">
        <v>0.78</v>
      </c>
      <c r="H1262" s="11"/>
      <c r="I1262" s="11"/>
      <c r="J1262" s="11"/>
    </row>
    <row r="1263" spans="1:10" ht="15.75" x14ac:dyDescent="0.3">
      <c r="A1263" s="13" t="str">
        <f>HYPERLINK("https://parts-sales.ru/parts/MAN/36749206002","36.74920-6002")</f>
        <v>36.74920-6002</v>
      </c>
      <c r="B1263" s="13" t="str">
        <f>HYPERLINK("https://parts-sales.ru/parts/MAN/36749206002","3/2-ходовой клапан")</f>
        <v>3/2-ходовой клапан</v>
      </c>
      <c r="C1263" s="5" t="s">
        <v>16</v>
      </c>
      <c r="D1263" s="6">
        <v>47816.14</v>
      </c>
      <c r="E1263" s="6">
        <v>31853</v>
      </c>
      <c r="F1263" s="9">
        <v>0.33</v>
      </c>
      <c r="H1263" s="11"/>
      <c r="I1263" s="11"/>
      <c r="J1263" s="11"/>
    </row>
    <row r="1264" spans="1:10" ht="15.75" x14ac:dyDescent="0.3">
      <c r="A1264" s="12" t="str">
        <f>HYPERLINK("https://parts-sales.ru/parts/MAN/36749206026","36.74920-6026")</f>
        <v>36.74920-6026</v>
      </c>
      <c r="B1264" s="12" t="str">
        <f>HYPERLINK("https://parts-sales.ru/parts/MAN/36749206026","5/2направляющий распределитель")</f>
        <v>5/2направляющий распределитель</v>
      </c>
      <c r="C1264" s="3" t="s">
        <v>16</v>
      </c>
      <c r="D1264" s="4">
        <v>64846.8</v>
      </c>
      <c r="E1264" s="4">
        <v>14065</v>
      </c>
      <c r="F1264" s="8">
        <v>0.78</v>
      </c>
      <c r="H1264" s="11"/>
      <c r="I1264" s="11"/>
      <c r="J1264" s="11"/>
    </row>
    <row r="1265" spans="1:10" ht="15.75" x14ac:dyDescent="0.3">
      <c r="A1265" s="13" t="str">
        <f>HYPERLINK("https://parts-sales.ru/parts/MAN/36749400097","36.74940-0097")</f>
        <v>36.74940-0097</v>
      </c>
      <c r="B1265" s="13" t="str">
        <f>HYPERLINK("https://parts-sales.ru/parts/MAN/36749400097","Натяжной клин")</f>
        <v>Натяжной клин</v>
      </c>
      <c r="C1265" s="5" t="s">
        <v>16</v>
      </c>
      <c r="D1265" s="6">
        <v>4378.8</v>
      </c>
      <c r="E1265" s="6">
        <v>800</v>
      </c>
      <c r="F1265" s="9">
        <v>0.82</v>
      </c>
      <c r="H1265" s="11"/>
      <c r="I1265" s="11"/>
      <c r="J1265" s="11"/>
    </row>
    <row r="1266" spans="1:10" ht="15.75" x14ac:dyDescent="0.3">
      <c r="A1266" s="12" t="str">
        <f>HYPERLINK("https://parts-sales.ru/parts/MAN/36749400099","36.74940-0099")</f>
        <v>36.74940-0099</v>
      </c>
      <c r="B1266" s="12" t="str">
        <f>HYPERLINK("https://parts-sales.ru/parts/MAN/36749400099","Натяжной клин низ")</f>
        <v>Натяжной клин низ</v>
      </c>
      <c r="C1266" s="3" t="s">
        <v>16</v>
      </c>
      <c r="D1266" s="4">
        <v>4378.8</v>
      </c>
      <c r="E1266" s="4">
        <v>816</v>
      </c>
      <c r="F1266" s="8">
        <v>0.81</v>
      </c>
      <c r="H1266" s="11"/>
      <c r="I1266" s="11"/>
      <c r="J1266" s="11"/>
    </row>
    <row r="1267" spans="1:10" ht="15.75" x14ac:dyDescent="0.3">
      <c r="A1267" s="13" t="str">
        <f>HYPERLINK("https://parts-sales.ru/parts/MAN/36749406057","36.74940-6057")</f>
        <v>36.74940-6057</v>
      </c>
      <c r="B1267" s="13" t="str">
        <f>HYPERLINK("https://parts-sales.ru/parts/MAN/36749406057","Фронтальная гидроизоляция")</f>
        <v>Фронтальная гидроизоляция</v>
      </c>
      <c r="C1267" s="5" t="s">
        <v>16</v>
      </c>
      <c r="D1267" s="6">
        <v>95304</v>
      </c>
      <c r="E1267" s="6">
        <v>18083</v>
      </c>
      <c r="F1267" s="9">
        <v>0.81</v>
      </c>
      <c r="H1267" s="11"/>
      <c r="I1267" s="11"/>
      <c r="J1267" s="11"/>
    </row>
    <row r="1268" spans="1:10" ht="15.75" x14ac:dyDescent="0.3">
      <c r="A1268" s="12" t="str">
        <f>HYPERLINK("https://parts-sales.ru/parts/MAN/36749636002","36.74963-6002")</f>
        <v>36.74963-6002</v>
      </c>
      <c r="B1268" s="12" t="str">
        <f>HYPERLINK("https://parts-sales.ru/parts/MAN/36749636002","Управляющий элемент")</f>
        <v>Управляющий элемент</v>
      </c>
      <c r="C1268" s="3" t="s">
        <v>16</v>
      </c>
      <c r="D1268" s="4">
        <v>94154.13</v>
      </c>
      <c r="E1268" s="4">
        <v>39284</v>
      </c>
      <c r="F1268" s="8">
        <v>0.57999999999999996</v>
      </c>
      <c r="H1268" s="11"/>
      <c r="I1268" s="11"/>
      <c r="J1268" s="11"/>
    </row>
    <row r="1269" spans="1:10" ht="15.75" x14ac:dyDescent="0.3">
      <c r="A1269" s="13" t="str">
        <f>HYPERLINK("https://parts-sales.ru/parts/MAN/36749636008","36.74963-6008")</f>
        <v>36.74963-6008</v>
      </c>
      <c r="B1269" s="13" t="str">
        <f>HYPERLINK("https://parts-sales.ru/parts/MAN/36749636008","Приведение в действие двери")</f>
        <v>Приведение в действие двери</v>
      </c>
      <c r="C1269" s="5" t="s">
        <v>16</v>
      </c>
      <c r="D1269" s="6">
        <v>154141.20000000001</v>
      </c>
      <c r="E1269" s="6">
        <v>21911</v>
      </c>
      <c r="F1269" s="9">
        <v>0.86</v>
      </c>
      <c r="H1269" s="11"/>
      <c r="I1269" s="11"/>
      <c r="J1269" s="11"/>
    </row>
    <row r="1270" spans="1:10" ht="15.75" x14ac:dyDescent="0.3">
      <c r="A1270" s="12" t="str">
        <f>HYPERLINK("https://parts-sales.ru/parts/MAN/36749636010","36.74963-6010")</f>
        <v>36.74963-6010</v>
      </c>
      <c r="B1270" s="12" t="str">
        <f>HYPERLINK("https://parts-sales.ru/parts/MAN/36749636010","Приведение в действие двери")</f>
        <v>Приведение в действие двери</v>
      </c>
      <c r="C1270" s="3" t="s">
        <v>16</v>
      </c>
      <c r="D1270" s="4">
        <v>159334.20000000001</v>
      </c>
      <c r="E1270" s="4">
        <v>66552</v>
      </c>
      <c r="F1270" s="8">
        <v>0.57999999999999996</v>
      </c>
      <c r="H1270" s="11"/>
      <c r="I1270" s="11"/>
      <c r="J1270" s="11"/>
    </row>
    <row r="1271" spans="1:10" ht="15.75" x14ac:dyDescent="0.3">
      <c r="A1271" s="13" t="str">
        <f>HYPERLINK("https://parts-sales.ru/parts/MAN/36749650033","36.74965-0033")</f>
        <v>36.74965-0033</v>
      </c>
      <c r="B1271" s="13" t="str">
        <f>HYPERLINK("https://parts-sales.ru/parts/MAN/36749650033","Шаровая головка")</f>
        <v>Шаровая головка</v>
      </c>
      <c r="C1271" s="5" t="s">
        <v>16</v>
      </c>
      <c r="D1271" s="6">
        <v>10844.4</v>
      </c>
      <c r="E1271" s="6">
        <v>4206</v>
      </c>
      <c r="F1271" s="9">
        <v>0.61</v>
      </c>
      <c r="H1271" s="11"/>
      <c r="I1271" s="11"/>
      <c r="J1271" s="11"/>
    </row>
    <row r="1272" spans="1:10" ht="15.75" x14ac:dyDescent="0.3">
      <c r="A1272" s="12" t="str">
        <f>HYPERLINK("https://parts-sales.ru/parts/MAN/36749700019","36.74970-0019")</f>
        <v>36.74970-0019</v>
      </c>
      <c r="B1272" s="12" t="str">
        <f>HYPERLINK("https://parts-sales.ru/parts/MAN/36749700019","Кожух")</f>
        <v>Кожух</v>
      </c>
      <c r="C1272" s="3" t="s">
        <v>16</v>
      </c>
      <c r="D1272" s="4">
        <v>7720.8</v>
      </c>
      <c r="E1272" s="4">
        <v>1521</v>
      </c>
      <c r="F1272" s="8">
        <v>0.8</v>
      </c>
      <c r="H1272" s="11"/>
      <c r="I1272" s="11"/>
      <c r="J1272" s="11"/>
    </row>
    <row r="1273" spans="1:10" ht="15.75" x14ac:dyDescent="0.3">
      <c r="A1273" s="13" t="str">
        <f>HYPERLINK("https://parts-sales.ru/parts/MAN/36751010197","36.75101-0197")</f>
        <v>36.75101-0197</v>
      </c>
      <c r="B1273" s="13" t="str">
        <f>HYPERLINK("https://parts-sales.ru/parts/MAN/36751010197","Боковое стекло")</f>
        <v>Боковое стекло</v>
      </c>
      <c r="C1273" s="5" t="s">
        <v>16</v>
      </c>
      <c r="D1273" s="6">
        <v>55937.45</v>
      </c>
      <c r="E1273" s="6">
        <v>23339</v>
      </c>
      <c r="F1273" s="9">
        <v>0.57999999999999996</v>
      </c>
      <c r="H1273" s="11"/>
      <c r="I1273" s="11"/>
      <c r="J1273" s="11"/>
    </row>
    <row r="1274" spans="1:10" ht="15.75" x14ac:dyDescent="0.3">
      <c r="A1274" s="12" t="str">
        <f>HYPERLINK("https://parts-sales.ru/parts/MAN/36751010444","36.75101-0444")</f>
        <v>36.75101-0444</v>
      </c>
      <c r="B1274" s="12" t="str">
        <f>HYPERLINK("https://parts-sales.ru/parts/MAN/36751010444","Боковое стекло 1792X1093X18-DSG-SD-GRGT")</f>
        <v>Боковое стекло 1792X1093X18-DSG-SD-GRGT</v>
      </c>
      <c r="C1274" s="3" t="s">
        <v>16</v>
      </c>
      <c r="D1274" s="4">
        <v>217735.2</v>
      </c>
      <c r="E1274" s="4">
        <v>44684</v>
      </c>
      <c r="F1274" s="8">
        <v>0.79</v>
      </c>
      <c r="H1274" s="11"/>
      <c r="I1274" s="11"/>
      <c r="J1274" s="11"/>
    </row>
    <row r="1275" spans="1:10" ht="15.75" x14ac:dyDescent="0.3">
      <c r="A1275" s="13" t="str">
        <f>HYPERLINK("https://parts-sales.ru/parts/MAN/36751010673","36.75101-0673")</f>
        <v>36.75101-0673</v>
      </c>
      <c r="B1275" s="13" t="str">
        <f>HYPERLINK("https://parts-sales.ru/parts/MAN/36751010673","Оконное стекло DSG")</f>
        <v>Оконное стекло DSG</v>
      </c>
      <c r="C1275" s="5" t="s">
        <v>16</v>
      </c>
      <c r="D1275" s="6">
        <v>255145.2</v>
      </c>
      <c r="E1275" s="6">
        <v>148449</v>
      </c>
      <c r="F1275" s="9">
        <v>0.42</v>
      </c>
      <c r="H1275" s="11"/>
      <c r="I1275" s="11"/>
      <c r="J1275" s="11"/>
    </row>
    <row r="1276" spans="1:10" ht="15.75" x14ac:dyDescent="0.3">
      <c r="A1276" s="12" t="str">
        <f>HYPERLINK("https://parts-sales.ru/parts/MAN/36751012233","36.75101-2233")</f>
        <v>36.75101-2233</v>
      </c>
      <c r="B1276" s="12" t="str">
        <f>HYPERLINK("https://parts-sales.ru/parts/MAN/36751012233","Боковое стекло 610/456X1090X18-DSG-SD-1X")</f>
        <v>Боковое стекло 610/456X1090X18-DSG-SD-1X</v>
      </c>
      <c r="C1276" s="3" t="s">
        <v>16</v>
      </c>
      <c r="D1276" s="4">
        <v>76418.09</v>
      </c>
      <c r="E1276" s="4">
        <v>31884</v>
      </c>
      <c r="F1276" s="8">
        <v>0.57999999999999996</v>
      </c>
      <c r="H1276" s="11"/>
      <c r="I1276" s="11"/>
      <c r="J1276" s="11"/>
    </row>
    <row r="1277" spans="1:10" ht="15.75" x14ac:dyDescent="0.3">
      <c r="A1277" s="13" t="str">
        <f>HYPERLINK("https://parts-sales.ru/parts/MAN/36751012234","36.75101-2234")</f>
        <v>36.75101-2234</v>
      </c>
      <c r="B1277" s="13" t="str">
        <f>HYPERLINK("https://parts-sales.ru/parts/MAN/36751012234","Боковое стекло 610/456X1090X18-DSG-SD-1X")</f>
        <v>Боковое стекло 610/456X1090X18-DSG-SD-1X</v>
      </c>
      <c r="C1277" s="5" t="s">
        <v>16</v>
      </c>
      <c r="D1277" s="6">
        <v>72230.53</v>
      </c>
      <c r="E1277" s="6">
        <v>33095</v>
      </c>
      <c r="F1277" s="9">
        <v>0.54</v>
      </c>
      <c r="H1277" s="11"/>
      <c r="I1277" s="11"/>
      <c r="J1277" s="11"/>
    </row>
    <row r="1278" spans="1:10" ht="15.75" x14ac:dyDescent="0.3">
      <c r="A1278" s="12" t="str">
        <f>HYPERLINK("https://parts-sales.ru/parts/MAN/36751012238","36.75101-2238")</f>
        <v>36.75101-2238</v>
      </c>
      <c r="B1278" s="12" t="str">
        <f>HYPERLINK("https://parts-sales.ru/parts/MAN/36751012238","Боковое стекло 682X618X18-DSG-SD-1XGRGT")</f>
        <v>Боковое стекло 682X618X18-DSG-SD-1XGRGT</v>
      </c>
      <c r="C1278" s="3" t="s">
        <v>16</v>
      </c>
      <c r="D1278" s="4">
        <v>42652.1</v>
      </c>
      <c r="E1278" s="4">
        <v>19542</v>
      </c>
      <c r="F1278" s="8">
        <v>0.54</v>
      </c>
      <c r="H1278" s="11"/>
      <c r="I1278" s="11"/>
      <c r="J1278" s="11"/>
    </row>
    <row r="1279" spans="1:10" ht="15.75" x14ac:dyDescent="0.3">
      <c r="A1279" s="13" t="str">
        <f>HYPERLINK("https://parts-sales.ru/parts/MAN/36751015002","36.75101-5002")</f>
        <v>36.75101-5002</v>
      </c>
      <c r="B1279" s="13" t="str">
        <f>HYPERLINK("https://parts-sales.ru/parts/MAN/36751015002","Лобовое стекло 2478X1760X7-VSG-SD-GNGT")</f>
        <v>Лобовое стекло 2478X1760X7-VSG-SD-GNGT</v>
      </c>
      <c r="C1279" s="5" t="s">
        <v>16</v>
      </c>
      <c r="D1279" s="6">
        <v>152676.31</v>
      </c>
      <c r="E1279" s="6">
        <v>101044</v>
      </c>
      <c r="F1279" s="9">
        <v>0.34</v>
      </c>
      <c r="H1279" s="11"/>
      <c r="I1279" s="11"/>
      <c r="J1279" s="11"/>
    </row>
    <row r="1280" spans="1:10" ht="15.75" x14ac:dyDescent="0.3">
      <c r="A1280" s="12" t="str">
        <f>HYPERLINK("https://parts-sales.ru/parts/MAN/36753010032","36.75301-0032")</f>
        <v>36.75301-0032</v>
      </c>
      <c r="B1280" s="12" t="str">
        <f>HYPERLINK("https://parts-sales.ru/parts/MAN/36753010032","Подвижное стекло 1127X532X4-ESG-HB-GNGT")</f>
        <v>Подвижное стекло 1127X532X4-ESG-HB-GNGT</v>
      </c>
      <c r="C1280" s="3" t="s">
        <v>16</v>
      </c>
      <c r="D1280" s="4">
        <v>181555.20000000001</v>
      </c>
      <c r="E1280" s="4">
        <v>30120</v>
      </c>
      <c r="F1280" s="8">
        <v>0.83</v>
      </c>
      <c r="H1280" s="11"/>
      <c r="I1280" s="11"/>
      <c r="J1280" s="11"/>
    </row>
    <row r="1281" spans="1:10" ht="15.75" x14ac:dyDescent="0.3">
      <c r="A1281" s="13" t="str">
        <f>HYPERLINK("https://parts-sales.ru/parts/MAN/36753010606","36.75301-0606")</f>
        <v>36.75301-0606</v>
      </c>
      <c r="B1281" s="13" t="str">
        <f>HYPERLINK("https://parts-sales.ru/parts/MAN/36753010606","Оконное стекло VSG")</f>
        <v>Оконное стекло VSG</v>
      </c>
      <c r="C1281" s="5" t="s">
        <v>16</v>
      </c>
      <c r="D1281" s="6">
        <v>127061.05</v>
      </c>
      <c r="E1281" s="6">
        <v>83168</v>
      </c>
      <c r="F1281" s="9">
        <v>0.35</v>
      </c>
      <c r="H1281" s="11"/>
      <c r="I1281" s="11"/>
      <c r="J1281" s="11"/>
    </row>
    <row r="1282" spans="1:10" ht="15.75" x14ac:dyDescent="0.3">
      <c r="A1282" s="12" t="str">
        <f>HYPERLINK("https://parts-sales.ru/parts/MAN/36760010014","36.76001-0014")</f>
        <v>36.76001-0014</v>
      </c>
      <c r="B1282" s="12" t="str">
        <f>HYPERLINK("https://parts-sales.ru/parts/MAN/36760010014","Заслонка NCS S7502 B")</f>
        <v>Заслонка NCS S7502 B</v>
      </c>
      <c r="C1282" s="3" t="s">
        <v>16</v>
      </c>
      <c r="D1282" s="4">
        <v>24482.400000000001</v>
      </c>
      <c r="E1282" s="4">
        <v>5908</v>
      </c>
      <c r="F1282" s="8">
        <v>0.76</v>
      </c>
      <c r="H1282" s="11"/>
      <c r="I1282" s="11"/>
      <c r="J1282" s="11"/>
    </row>
    <row r="1283" spans="1:10" ht="15.75" x14ac:dyDescent="0.3">
      <c r="A1283" s="13" t="str">
        <f>HYPERLINK("https://parts-sales.ru/parts/MAN/36760080083","36.76008-0083")</f>
        <v>36.76008-0083</v>
      </c>
      <c r="B1283" s="13" t="str">
        <f>HYPERLINK("https://parts-sales.ru/parts/MAN/36760080083","Заслонка")</f>
        <v>Заслонка</v>
      </c>
      <c r="C1283" s="5" t="s">
        <v>16</v>
      </c>
      <c r="D1283" s="6">
        <v>2379.6</v>
      </c>
      <c r="E1283" s="6">
        <v>532</v>
      </c>
      <c r="F1283" s="9">
        <v>0.78</v>
      </c>
      <c r="H1283" s="11"/>
      <c r="I1283" s="11"/>
      <c r="J1283" s="11"/>
    </row>
    <row r="1284" spans="1:10" ht="15.75" x14ac:dyDescent="0.3">
      <c r="A1284" s="12" t="str">
        <f>HYPERLINK("https://parts-sales.ru/parts/MAN/36760080106","36.76008-0106")</f>
        <v>36.76008-0106</v>
      </c>
      <c r="B1284" s="12" t="str">
        <f>HYPERLINK("https://parts-sales.ru/parts/MAN/36760080106","Воздушный канал Верхняя часть")</f>
        <v>Воздушный канал Верхняя часть</v>
      </c>
      <c r="C1284" s="3" t="s">
        <v>16</v>
      </c>
      <c r="D1284" s="4">
        <v>29412</v>
      </c>
      <c r="E1284" s="4">
        <v>7889</v>
      </c>
      <c r="F1284" s="8">
        <v>0.73</v>
      </c>
      <c r="H1284" s="11"/>
      <c r="I1284" s="11"/>
      <c r="J1284" s="11"/>
    </row>
    <row r="1285" spans="1:10" ht="15.75" x14ac:dyDescent="0.3">
      <c r="A1285" s="13" t="str">
        <f>HYPERLINK("https://parts-sales.ru/parts/MAN/36760080109","36.76008-0109")</f>
        <v>36.76008-0109</v>
      </c>
      <c r="B1285" s="13" t="str">
        <f>HYPERLINK("https://parts-sales.ru/parts/MAN/36760080109","Кожух Приборная доска")</f>
        <v>Кожух Приборная доска</v>
      </c>
      <c r="C1285" s="5" t="s">
        <v>16</v>
      </c>
      <c r="D1285" s="6">
        <v>89551.2</v>
      </c>
      <c r="E1285" s="6">
        <v>24009</v>
      </c>
      <c r="F1285" s="9">
        <v>0.73</v>
      </c>
      <c r="H1285" s="11"/>
      <c r="I1285" s="11"/>
      <c r="J1285" s="11"/>
    </row>
    <row r="1286" spans="1:10" ht="15.75" x14ac:dyDescent="0.3">
      <c r="A1286" s="12" t="str">
        <f>HYPERLINK("https://parts-sales.ru/parts/MAN/36760096023","36.76009-6023")</f>
        <v>36.76009-6023</v>
      </c>
      <c r="B1286" s="12" t="str">
        <f>HYPERLINK("https://parts-sales.ru/parts/MAN/36760096023","Обшивка Холодильный шкаф")</f>
        <v>Обшивка Холодильный шкаф</v>
      </c>
      <c r="C1286" s="3" t="s">
        <v>16</v>
      </c>
      <c r="D1286" s="4">
        <v>157278</v>
      </c>
      <c r="E1286" s="4">
        <v>40790</v>
      </c>
      <c r="F1286" s="8">
        <v>0.74</v>
      </c>
      <c r="H1286" s="11"/>
      <c r="I1286" s="11"/>
      <c r="J1286" s="11"/>
    </row>
    <row r="1287" spans="1:10" ht="15.75" x14ac:dyDescent="0.3">
      <c r="A1287" s="13" t="str">
        <f>HYPERLINK("https://parts-sales.ru/parts/MAN/36764040027","36.76404-0027")</f>
        <v>36.76404-0027</v>
      </c>
      <c r="B1287" s="13" t="str">
        <f>HYPERLINK("https://parts-sales.ru/parts/MAN/36764040027","Проступная планка l- 696,6 mm")</f>
        <v>Проступная планка l- 696,6 mm</v>
      </c>
      <c r="C1287" s="5" t="s">
        <v>16</v>
      </c>
      <c r="D1287" s="6">
        <v>6327.6</v>
      </c>
      <c r="E1287" s="6">
        <v>1254</v>
      </c>
      <c r="F1287" s="9">
        <v>0.8</v>
      </c>
      <c r="H1287" s="11"/>
      <c r="I1287" s="11"/>
      <c r="J1287" s="11"/>
    </row>
    <row r="1288" spans="1:10" ht="15.75" x14ac:dyDescent="0.3">
      <c r="A1288" s="12" t="str">
        <f>HYPERLINK("https://parts-sales.ru/parts/MAN/36771015075","36.77101-5075")</f>
        <v>36.77101-5075</v>
      </c>
      <c r="B1288" s="12" t="str">
        <f>HYPERLINK("https://parts-sales.ru/parts/MAN/36771015075","Поручень")</f>
        <v>Поручень</v>
      </c>
      <c r="C1288" s="3" t="s">
        <v>16</v>
      </c>
      <c r="D1288" s="4">
        <v>43954.8</v>
      </c>
      <c r="E1288" s="4">
        <v>10875</v>
      </c>
      <c r="F1288" s="8">
        <v>0.75</v>
      </c>
      <c r="H1288" s="11"/>
      <c r="I1288" s="11"/>
      <c r="J1288" s="11"/>
    </row>
    <row r="1289" spans="1:10" ht="15.75" x14ac:dyDescent="0.3">
      <c r="A1289" s="13" t="str">
        <f>HYPERLINK("https://parts-sales.ru/parts/MAN/36776206295","36.77620-6295")</f>
        <v>36.77620-6295</v>
      </c>
      <c r="B1289" s="13" t="str">
        <f>HYPERLINK("https://parts-sales.ru/parts/MAN/36776206295","Ремонтный комплект grau")</f>
        <v>Ремонтный комплект grau</v>
      </c>
      <c r="C1289" s="5" t="s">
        <v>16</v>
      </c>
      <c r="D1289" s="6">
        <v>2646</v>
      </c>
      <c r="E1289" s="6">
        <v>624</v>
      </c>
      <c r="F1289" s="9">
        <v>0.76</v>
      </c>
      <c r="H1289" s="11"/>
      <c r="I1289" s="11"/>
      <c r="J1289" s="11"/>
    </row>
    <row r="1290" spans="1:10" ht="15.75" x14ac:dyDescent="0.3">
      <c r="A1290" s="12" t="str">
        <f>HYPERLINK("https://parts-sales.ru/parts/MAN/36776300038","36.77630-0038")</f>
        <v>36.77630-0038</v>
      </c>
      <c r="B1290" s="12" t="str">
        <f>HYPERLINK("https://parts-sales.ru/parts/MAN/36776300038","Соединительный штуцер шланга")</f>
        <v>Соединительный штуцер шланга</v>
      </c>
      <c r="C1290" s="3" t="s">
        <v>16</v>
      </c>
      <c r="D1290" s="4">
        <v>9093.6</v>
      </c>
      <c r="E1290" s="4">
        <v>1831</v>
      </c>
      <c r="F1290" s="8">
        <v>0.8</v>
      </c>
      <c r="H1290" s="11"/>
      <c r="I1290" s="11"/>
      <c r="J1290" s="11"/>
    </row>
    <row r="1291" spans="1:10" ht="15.75" x14ac:dyDescent="0.3">
      <c r="A1291" s="13" t="str">
        <f>HYPERLINK("https://parts-sales.ru/parts/MAN/36776300054","36.77630-0054")</f>
        <v>36.77630-0054</v>
      </c>
      <c r="B1291" s="13" t="str">
        <f>HYPERLINK("https://parts-sales.ru/parts/MAN/36776300054","Уплотнение")</f>
        <v>Уплотнение</v>
      </c>
      <c r="C1291" s="5" t="s">
        <v>16</v>
      </c>
      <c r="D1291" s="6">
        <v>3640.8</v>
      </c>
      <c r="E1291" s="6">
        <v>851</v>
      </c>
      <c r="F1291" s="9">
        <v>0.77</v>
      </c>
      <c r="H1291" s="11"/>
      <c r="I1291" s="11"/>
      <c r="J1291" s="11"/>
    </row>
    <row r="1292" spans="1:10" ht="15.75" x14ac:dyDescent="0.3">
      <c r="A1292" s="12" t="str">
        <f>HYPERLINK("https://parts-sales.ru/parts/MAN/36776306064","36.77630-6064")</f>
        <v>36.77630-6064</v>
      </c>
      <c r="B1292" s="12" t="str">
        <f>HYPERLINK("https://parts-sales.ru/parts/MAN/36776306064","Гидронасос Умывальник")</f>
        <v>Гидронасос Умывальник</v>
      </c>
      <c r="C1292" s="3" t="s">
        <v>16</v>
      </c>
      <c r="D1292" s="4">
        <v>35928</v>
      </c>
      <c r="E1292" s="4">
        <v>8761</v>
      </c>
      <c r="F1292" s="8">
        <v>0.76</v>
      </c>
      <c r="H1292" s="11"/>
      <c r="I1292" s="11"/>
      <c r="J1292" s="11"/>
    </row>
    <row r="1293" spans="1:10" ht="15.75" x14ac:dyDescent="0.3">
      <c r="A1293" s="13" t="str">
        <f>HYPERLINK("https://parts-sales.ru/parts/MAN/36776306131","36.77630-6131")</f>
        <v>36.77630-6131</v>
      </c>
      <c r="B1293" s="13" t="str">
        <f>HYPERLINK("https://parts-sales.ru/parts/MAN/36776306131","Золотник")</f>
        <v>Золотник</v>
      </c>
      <c r="C1293" s="5" t="s">
        <v>16</v>
      </c>
      <c r="D1293" s="6">
        <v>60386.400000000001</v>
      </c>
      <c r="E1293" s="6">
        <v>16290</v>
      </c>
      <c r="F1293" s="9">
        <v>0.73</v>
      </c>
      <c r="H1293" s="11"/>
      <c r="I1293" s="11"/>
      <c r="J1293" s="11"/>
    </row>
    <row r="1294" spans="1:10" ht="15.75" x14ac:dyDescent="0.3">
      <c r="A1294" s="12" t="str">
        <f>HYPERLINK("https://parts-sales.ru/parts/MAN/36776616000","36.77661-6000")</f>
        <v>36.77661-6000</v>
      </c>
      <c r="B1294" s="12" t="str">
        <f>HYPERLINK("https://parts-sales.ru/parts/MAN/36776616000","Водяной шланг")</f>
        <v>Водяной шланг</v>
      </c>
      <c r="C1294" s="3" t="s">
        <v>16</v>
      </c>
      <c r="D1294" s="4">
        <v>8166.53</v>
      </c>
      <c r="E1294" s="4">
        <v>3811</v>
      </c>
      <c r="F1294" s="8">
        <v>0.53</v>
      </c>
      <c r="H1294" s="11"/>
      <c r="I1294" s="11"/>
      <c r="J1294" s="11"/>
    </row>
    <row r="1295" spans="1:10" ht="15.75" x14ac:dyDescent="0.3">
      <c r="A1295" s="13" t="str">
        <f>HYPERLINK("https://parts-sales.ru/parts/MAN/36779046003","36.77904-6003")</f>
        <v>36.77904-6003</v>
      </c>
      <c r="B1295" s="13" t="str">
        <f>HYPERLINK("https://parts-sales.ru/parts/MAN/36779046003","Комплект деталей малый")</f>
        <v>Комплект деталей малый</v>
      </c>
      <c r="C1295" s="5" t="s">
        <v>16</v>
      </c>
      <c r="D1295" s="6">
        <v>5094</v>
      </c>
      <c r="E1295" s="6">
        <v>1101</v>
      </c>
      <c r="F1295" s="9">
        <v>0.78</v>
      </c>
      <c r="H1295" s="11"/>
      <c r="I1295" s="11"/>
      <c r="J1295" s="11"/>
    </row>
    <row r="1296" spans="1:10" ht="15.75" x14ac:dyDescent="0.3">
      <c r="A1296" s="12" t="str">
        <f>HYPERLINK("https://parts-sales.ru/parts/MAN/36779100033","36.77910-0033")</f>
        <v>36.77910-0033</v>
      </c>
      <c r="B1296" s="12" t="str">
        <f>HYPERLINK("https://parts-sales.ru/parts/MAN/36779100033","Салонный фильтр 448,5X153X12")</f>
        <v>Салонный фильтр 448,5X153X12</v>
      </c>
      <c r="C1296" s="3" t="s">
        <v>16</v>
      </c>
      <c r="D1296" s="4">
        <v>8956.7999999999993</v>
      </c>
      <c r="E1296" s="4">
        <v>2183</v>
      </c>
      <c r="F1296" s="8">
        <v>0.76</v>
      </c>
      <c r="H1296" s="11"/>
      <c r="I1296" s="11"/>
      <c r="J1296" s="11"/>
    </row>
    <row r="1297" spans="1:10" ht="15.75" x14ac:dyDescent="0.3">
      <c r="A1297" s="13" t="str">
        <f>HYPERLINK("https://parts-sales.ru/parts/MAN/36779106007","36.77910-6007")</f>
        <v>36.77910-6007</v>
      </c>
      <c r="B1297" s="13" t="str">
        <f>HYPERLINK("https://parts-sales.ru/parts/MAN/36779106007","Салонный фильтр")</f>
        <v>Салонный фильтр</v>
      </c>
      <c r="C1297" s="5" t="s">
        <v>16</v>
      </c>
      <c r="D1297" s="6">
        <v>8820</v>
      </c>
      <c r="E1297" s="6">
        <v>1560</v>
      </c>
      <c r="F1297" s="9">
        <v>0.82</v>
      </c>
      <c r="H1297" s="11"/>
      <c r="I1297" s="11"/>
      <c r="J1297" s="11"/>
    </row>
    <row r="1298" spans="1:10" ht="15.75" x14ac:dyDescent="0.3">
      <c r="A1298" s="12" t="str">
        <f>HYPERLINK("https://parts-sales.ru/parts/MAN/36779500005","36.77950-0005")</f>
        <v>36.77950-0005</v>
      </c>
      <c r="B1298" s="12" t="str">
        <f>HYPERLINK("https://parts-sales.ru/parts/MAN/36779500005","Воздушное сопло прямо")</f>
        <v>Воздушное сопло прямо</v>
      </c>
      <c r="C1298" s="3" t="s">
        <v>16</v>
      </c>
      <c r="D1298" s="4">
        <v>7863.6</v>
      </c>
      <c r="E1298" s="4">
        <v>2040</v>
      </c>
      <c r="F1298" s="8">
        <v>0.74</v>
      </c>
      <c r="H1298" s="11"/>
      <c r="I1298" s="11"/>
      <c r="J1298" s="11"/>
    </row>
    <row r="1299" spans="1:10" ht="15.75" x14ac:dyDescent="0.3">
      <c r="A1299" s="13" t="str">
        <f>HYPERLINK("https://parts-sales.ru/parts/MAN/36779500006","36.77950-0006")</f>
        <v>36.77950-0006</v>
      </c>
      <c r="B1299" s="13" t="str">
        <f>HYPERLINK("https://parts-sales.ru/parts/MAN/36779500006","Воздушное сопло изогнутый")</f>
        <v>Воздушное сопло изогнутый</v>
      </c>
      <c r="C1299" s="5" t="s">
        <v>16</v>
      </c>
      <c r="D1299" s="6">
        <v>3520.8</v>
      </c>
      <c r="E1299" s="6">
        <v>764</v>
      </c>
      <c r="F1299" s="9">
        <v>0.78</v>
      </c>
      <c r="H1299" s="11"/>
      <c r="I1299" s="11"/>
      <c r="J1299" s="11"/>
    </row>
    <row r="1300" spans="1:10" ht="15.75" x14ac:dyDescent="0.3">
      <c r="A1300" s="12" t="str">
        <f>HYPERLINK("https://parts-sales.ru/parts/MAN/36779500015","36.77950-0015")</f>
        <v>36.77950-0015</v>
      </c>
      <c r="B1300" s="12" t="str">
        <f>HYPERLINK("https://parts-sales.ru/parts/MAN/36779500015","Воздушное сопло прямо")</f>
        <v>Воздушное сопло прямо</v>
      </c>
      <c r="C1300" s="3" t="s">
        <v>16</v>
      </c>
      <c r="D1300" s="4">
        <v>2076</v>
      </c>
      <c r="E1300" s="4">
        <v>472</v>
      </c>
      <c r="F1300" s="8">
        <v>0.77</v>
      </c>
      <c r="H1300" s="11"/>
      <c r="I1300" s="11"/>
      <c r="J1300" s="11"/>
    </row>
    <row r="1301" spans="1:10" ht="15.75" x14ac:dyDescent="0.3">
      <c r="A1301" s="13" t="str">
        <f>HYPERLINK("https://parts-sales.ru/parts/MAN/36779546048","36.77954-6048")</f>
        <v>36.77954-6048</v>
      </c>
      <c r="B1301" s="13" t="str">
        <f>HYPERLINK("https://parts-sales.ru/parts/MAN/36779546048","Электромагнитное сцепление")</f>
        <v>Электромагнитное сцепление</v>
      </c>
      <c r="C1301" s="5" t="s">
        <v>16</v>
      </c>
      <c r="D1301" s="6">
        <v>109435.26</v>
      </c>
      <c r="E1301" s="6">
        <v>64468</v>
      </c>
      <c r="F1301" s="9">
        <v>0.41</v>
      </c>
      <c r="H1301" s="11"/>
      <c r="I1301" s="11"/>
      <c r="J1301" s="11"/>
    </row>
    <row r="1302" spans="1:10" ht="15.75" x14ac:dyDescent="0.3">
      <c r="A1302" s="12" t="str">
        <f>HYPERLINK("https://parts-sales.ru/parts/MAN/36779626018","36.77962-6018")</f>
        <v>36.77962-6018</v>
      </c>
      <c r="B1302" s="12" t="str">
        <f>HYPERLINK("https://parts-sales.ru/parts/MAN/36779626018","Кран отопителя")</f>
        <v>Кран отопителя</v>
      </c>
      <c r="C1302" s="3" t="s">
        <v>16</v>
      </c>
      <c r="D1302" s="4">
        <v>55808.4</v>
      </c>
      <c r="E1302" s="4">
        <v>11654</v>
      </c>
      <c r="F1302" s="8">
        <v>0.79</v>
      </c>
      <c r="H1302" s="11"/>
      <c r="I1302" s="11"/>
      <c r="J1302" s="11"/>
    </row>
    <row r="1303" spans="1:10" ht="15.75" x14ac:dyDescent="0.3">
      <c r="A1303" s="13" t="str">
        <f>HYPERLINK("https://parts-sales.ru/parts/MAN/36779710065","36.77971-0065")</f>
        <v>36.77971-0065</v>
      </c>
      <c r="B1303" s="13" t="str">
        <f>HYPERLINK("https://parts-sales.ru/parts/MAN/36779710065","Крепежный зажим")</f>
        <v>Крепежный зажим</v>
      </c>
      <c r="C1303" s="5" t="s">
        <v>16</v>
      </c>
      <c r="D1303" s="6">
        <v>7659.6</v>
      </c>
      <c r="E1303" s="6">
        <v>1515</v>
      </c>
      <c r="F1303" s="9">
        <v>0.8</v>
      </c>
      <c r="H1303" s="11"/>
      <c r="I1303" s="11"/>
      <c r="J1303" s="11"/>
    </row>
    <row r="1304" spans="1:10" ht="15.75" x14ac:dyDescent="0.3">
      <c r="A1304" s="12" t="str">
        <f>HYPERLINK("https://parts-sales.ru/parts/MAN/36779716114","36.77971-6114")</f>
        <v>36.77971-6114</v>
      </c>
      <c r="B1304" s="12" t="str">
        <f>HYPERLINK("https://parts-sales.ru/parts/MAN/36779716114","Шланг подачи охлажд.жидкости")</f>
        <v>Шланг подачи охлажд.жидкости</v>
      </c>
      <c r="C1304" s="3" t="s">
        <v>16</v>
      </c>
      <c r="D1304" s="4">
        <v>119451.6</v>
      </c>
      <c r="E1304" s="4">
        <v>18392</v>
      </c>
      <c r="F1304" s="8">
        <v>0.85</v>
      </c>
      <c r="H1304" s="11"/>
      <c r="I1304" s="11"/>
      <c r="J1304" s="11"/>
    </row>
    <row r="1305" spans="1:10" ht="15.75" x14ac:dyDescent="0.3">
      <c r="A1305" s="13" t="str">
        <f>HYPERLINK("https://parts-sales.ru/parts/MAN/36779716129","36.77971-6129")</f>
        <v>36.77971-6129</v>
      </c>
      <c r="B1305" s="13" t="str">
        <f>HYPERLINK("https://parts-sales.ru/parts/MAN/36779716129","Трубопровод охлажд.жидкости")</f>
        <v>Трубопровод охлажд.жидкости</v>
      </c>
      <c r="C1305" s="5" t="s">
        <v>16</v>
      </c>
      <c r="D1305" s="6">
        <v>43177.2</v>
      </c>
      <c r="E1305" s="6">
        <v>9139</v>
      </c>
      <c r="F1305" s="9">
        <v>0.79</v>
      </c>
      <c r="H1305" s="11"/>
      <c r="I1305" s="11"/>
      <c r="J1305" s="11"/>
    </row>
    <row r="1306" spans="1:10" ht="15.75" x14ac:dyDescent="0.3">
      <c r="A1306" s="12" t="str">
        <f>HYPERLINK("https://parts-sales.ru/parts/MAN/36786400110","36.78640-0110")</f>
        <v>36.78640-0110</v>
      </c>
      <c r="B1306" s="12" t="str">
        <f>HYPERLINK("https://parts-sales.ru/parts/MAN/36786400110","Поворотная рукоять серый")</f>
        <v>Поворотная рукоять серый</v>
      </c>
      <c r="C1306" s="3" t="s">
        <v>16</v>
      </c>
      <c r="D1306" s="4">
        <v>631.20000000000005</v>
      </c>
      <c r="E1306" s="4">
        <v>141</v>
      </c>
      <c r="F1306" s="8">
        <v>0.78</v>
      </c>
      <c r="H1306" s="11"/>
      <c r="I1306" s="11"/>
      <c r="J1306" s="11"/>
    </row>
    <row r="1307" spans="1:10" ht="15.75" x14ac:dyDescent="0.3">
      <c r="A1307" s="13" t="str">
        <f>HYPERLINK("https://parts-sales.ru/parts/MAN/36786400181","36.78640-0181")</f>
        <v>36.78640-0181</v>
      </c>
      <c r="B1307" s="13" t="str">
        <f>HYPERLINK("https://parts-sales.ru/parts/MAN/36786400181","Крепежный элемент")</f>
        <v>Крепежный элемент</v>
      </c>
      <c r="C1307" s="5" t="s">
        <v>16</v>
      </c>
      <c r="D1307" s="6">
        <v>10226.4</v>
      </c>
      <c r="E1307" s="6">
        <v>2499</v>
      </c>
      <c r="F1307" s="9">
        <v>0.76</v>
      </c>
      <c r="H1307" s="11"/>
      <c r="I1307" s="11"/>
      <c r="J1307" s="11"/>
    </row>
    <row r="1308" spans="1:10" ht="15.75" x14ac:dyDescent="0.3">
      <c r="A1308" s="12" t="str">
        <f>HYPERLINK("https://parts-sales.ru/parts/MAN/36786400182","36.78640-0182")</f>
        <v>36.78640-0182</v>
      </c>
      <c r="B1308" s="12" t="str">
        <f>HYPERLINK("https://parts-sales.ru/parts/MAN/36786400182","Крепежный элемент")</f>
        <v>Крепежный элемент</v>
      </c>
      <c r="C1308" s="3" t="s">
        <v>16</v>
      </c>
      <c r="D1308" s="4">
        <v>10226.4</v>
      </c>
      <c r="E1308" s="4">
        <v>2499</v>
      </c>
      <c r="F1308" s="8">
        <v>0.76</v>
      </c>
      <c r="H1308" s="11"/>
      <c r="I1308" s="11"/>
      <c r="J1308" s="11"/>
    </row>
    <row r="1309" spans="1:10" ht="15.75" x14ac:dyDescent="0.3">
      <c r="A1309" s="13" t="str">
        <f>HYPERLINK("https://parts-sales.ru/parts/MAN/36786400183","36.78640-0183")</f>
        <v>36.78640-0183</v>
      </c>
      <c r="B1309" s="13" t="str">
        <f>HYPERLINK("https://parts-sales.ru/parts/MAN/36786400183","Крепежный элемент")</f>
        <v>Крепежный элемент</v>
      </c>
      <c r="C1309" s="5" t="s">
        <v>16</v>
      </c>
      <c r="D1309" s="6">
        <v>11844</v>
      </c>
      <c r="E1309" s="6">
        <v>1996</v>
      </c>
      <c r="F1309" s="9">
        <v>0.83</v>
      </c>
      <c r="H1309" s="11"/>
      <c r="I1309" s="11"/>
      <c r="J1309" s="11"/>
    </row>
    <row r="1310" spans="1:10" ht="15.75" x14ac:dyDescent="0.3">
      <c r="A1310" s="12" t="str">
        <f>HYPERLINK("https://parts-sales.ru/parts/MAN/36786400184","36.78640-0184")</f>
        <v>36.78640-0184</v>
      </c>
      <c r="B1310" s="12" t="str">
        <f>HYPERLINK("https://parts-sales.ru/parts/MAN/36786400184","Крепежный элемент")</f>
        <v>Крепежный элемент</v>
      </c>
      <c r="C1310" s="3" t="s">
        <v>16</v>
      </c>
      <c r="D1310" s="4">
        <v>11844</v>
      </c>
      <c r="E1310" s="4">
        <v>1996</v>
      </c>
      <c r="F1310" s="8">
        <v>0.83</v>
      </c>
      <c r="H1310" s="11"/>
      <c r="I1310" s="11"/>
      <c r="J1310" s="11"/>
    </row>
    <row r="1311" spans="1:10" ht="15.75" x14ac:dyDescent="0.3">
      <c r="A1311" s="13" t="str">
        <f>HYPERLINK("https://parts-sales.ru/parts/MAN/36786400187","36.78640-0187")</f>
        <v>36.78640-0187</v>
      </c>
      <c r="B1311" s="13" t="str">
        <f>HYPERLINK("https://parts-sales.ru/parts/MAN/36786400187","Крепежный элемент")</f>
        <v>Крепежный элемент</v>
      </c>
      <c r="C1311" s="5" t="s">
        <v>16</v>
      </c>
      <c r="D1311" s="6">
        <v>4055.11</v>
      </c>
      <c r="E1311" s="6">
        <v>1893</v>
      </c>
      <c r="F1311" s="9">
        <v>0.53</v>
      </c>
      <c r="H1311" s="11"/>
      <c r="I1311" s="11"/>
      <c r="J1311" s="11"/>
    </row>
    <row r="1312" spans="1:10" ht="15.75" x14ac:dyDescent="0.3">
      <c r="A1312" s="12" t="str">
        <f>HYPERLINK("https://parts-sales.ru/parts/MAN/36786400188","36.78640-0188")</f>
        <v>36.78640-0188</v>
      </c>
      <c r="B1312" s="12" t="str">
        <f>HYPERLINK("https://parts-sales.ru/parts/MAN/36786400188","Крепежный элемент")</f>
        <v>Крепежный элемент</v>
      </c>
      <c r="C1312" s="3" t="s">
        <v>16</v>
      </c>
      <c r="D1312" s="4">
        <v>4807.8999999999996</v>
      </c>
      <c r="E1312" s="4">
        <v>2203</v>
      </c>
      <c r="F1312" s="8">
        <v>0.54</v>
      </c>
      <c r="H1312" s="11"/>
      <c r="I1312" s="11"/>
      <c r="J1312" s="11"/>
    </row>
    <row r="1313" spans="1:10" ht="15.75" x14ac:dyDescent="0.3">
      <c r="A1313" s="13" t="str">
        <f>HYPERLINK("https://parts-sales.ru/parts/MAN/36786400189","36.78640-0189")</f>
        <v>36.78640-0189</v>
      </c>
      <c r="B1313" s="13" t="str">
        <f>HYPERLINK("https://parts-sales.ru/parts/MAN/36786400189","Управляющий элемент Ряд сидений")</f>
        <v>Управляющий элемент Ряд сидений</v>
      </c>
      <c r="C1313" s="5" t="s">
        <v>16</v>
      </c>
      <c r="D1313" s="6">
        <v>1095.5999999999999</v>
      </c>
      <c r="E1313" s="6">
        <v>219</v>
      </c>
      <c r="F1313" s="9">
        <v>0.8</v>
      </c>
      <c r="H1313" s="11"/>
      <c r="I1313" s="11"/>
      <c r="J1313" s="11"/>
    </row>
    <row r="1314" spans="1:10" ht="15.75" x14ac:dyDescent="0.3">
      <c r="A1314" s="12" t="str">
        <f>HYPERLINK("https://parts-sales.ru/parts/MAN/36786400190","36.78640-0190")</f>
        <v>36.78640-0190</v>
      </c>
      <c r="B1314" s="12" t="str">
        <f>HYPERLINK("https://parts-sales.ru/parts/MAN/36786400190","Управляющий элемент Ряд сидений")</f>
        <v>Управляющий элемент Ряд сидений</v>
      </c>
      <c r="C1314" s="3" t="s">
        <v>16</v>
      </c>
      <c r="D1314" s="4">
        <v>1095.5999999999999</v>
      </c>
      <c r="E1314" s="4">
        <v>219</v>
      </c>
      <c r="F1314" s="8">
        <v>0.8</v>
      </c>
      <c r="H1314" s="11"/>
      <c r="I1314" s="11"/>
      <c r="J1314" s="11"/>
    </row>
    <row r="1315" spans="1:10" ht="15.75" x14ac:dyDescent="0.3">
      <c r="A1315" s="13" t="str">
        <f>HYPERLINK("https://parts-sales.ru/parts/MAN/36786400191","36.78640-0191")</f>
        <v>36.78640-0191</v>
      </c>
      <c r="B1315" s="13" t="str">
        <f>HYPERLINK("https://parts-sales.ru/parts/MAN/36786400191","Крепежный элемент")</f>
        <v>Крепежный элемент</v>
      </c>
      <c r="C1315" s="5" t="s">
        <v>16</v>
      </c>
      <c r="D1315" s="6">
        <v>9037.2000000000007</v>
      </c>
      <c r="E1315" s="6">
        <v>1579</v>
      </c>
      <c r="F1315" s="9">
        <v>0.83</v>
      </c>
      <c r="H1315" s="11"/>
      <c r="I1315" s="11"/>
      <c r="J1315" s="11"/>
    </row>
    <row r="1316" spans="1:10" ht="15.75" x14ac:dyDescent="0.3">
      <c r="A1316" s="12" t="str">
        <f>HYPERLINK("https://parts-sales.ru/parts/MAN/36786400192","36.78640-0192")</f>
        <v>36.78640-0192</v>
      </c>
      <c r="B1316" s="12" t="str">
        <f>HYPERLINK("https://parts-sales.ru/parts/MAN/36786400192","Крепежный элемент")</f>
        <v>Крепежный элемент</v>
      </c>
      <c r="C1316" s="3" t="s">
        <v>16</v>
      </c>
      <c r="D1316" s="4">
        <v>9037.2000000000007</v>
      </c>
      <c r="E1316" s="4">
        <v>1573</v>
      </c>
      <c r="F1316" s="8">
        <v>0.83</v>
      </c>
      <c r="H1316" s="11"/>
      <c r="I1316" s="11"/>
      <c r="J1316" s="11"/>
    </row>
    <row r="1317" spans="1:10" ht="15.75" x14ac:dyDescent="0.3">
      <c r="A1317" s="13" t="str">
        <f>HYPERLINK("https://parts-sales.ru/parts/MAN/36786400197","36.78640-0197")</f>
        <v>36.78640-0197</v>
      </c>
      <c r="B1317" s="13" t="str">
        <f>HYPERLINK("https://parts-sales.ru/parts/MAN/36786400197","Крепежный элемент")</f>
        <v>Крепежный элемент</v>
      </c>
      <c r="C1317" s="5" t="s">
        <v>16</v>
      </c>
      <c r="D1317" s="6">
        <v>5218.8</v>
      </c>
      <c r="E1317" s="6">
        <v>910</v>
      </c>
      <c r="F1317" s="9">
        <v>0.83</v>
      </c>
      <c r="H1317" s="11"/>
      <c r="I1317" s="11"/>
      <c r="J1317" s="11"/>
    </row>
    <row r="1318" spans="1:10" ht="15.75" x14ac:dyDescent="0.3">
      <c r="A1318" s="12" t="str">
        <f>HYPERLINK("https://parts-sales.ru/parts/MAN/36786400198","36.78640-0198")</f>
        <v>36.78640-0198</v>
      </c>
      <c r="B1318" s="12" t="str">
        <f>HYPERLINK("https://parts-sales.ru/parts/MAN/36786400198","Крепежный элемент")</f>
        <v>Крепежный элемент</v>
      </c>
      <c r="C1318" s="3" t="s">
        <v>16</v>
      </c>
      <c r="D1318" s="4">
        <v>5218.8</v>
      </c>
      <c r="E1318" s="4">
        <v>914</v>
      </c>
      <c r="F1318" s="8">
        <v>0.82</v>
      </c>
      <c r="H1318" s="11"/>
      <c r="I1318" s="11"/>
      <c r="J1318" s="11"/>
    </row>
    <row r="1319" spans="1:10" ht="15.75" x14ac:dyDescent="0.3">
      <c r="A1319" s="13" t="str">
        <f>HYPERLINK("https://parts-sales.ru/parts/MAN/36786400199","36.78640-0199")</f>
        <v>36.78640-0199</v>
      </c>
      <c r="B1319" s="13" t="str">
        <f>HYPERLINK("https://parts-sales.ru/parts/MAN/36786400199","Крепежный элемент")</f>
        <v>Крепежный элемент</v>
      </c>
      <c r="C1319" s="5" t="s">
        <v>16</v>
      </c>
      <c r="D1319" s="6">
        <v>5626.8</v>
      </c>
      <c r="E1319" s="6">
        <v>984</v>
      </c>
      <c r="F1319" s="9">
        <v>0.83</v>
      </c>
      <c r="H1319" s="11"/>
      <c r="I1319" s="11"/>
      <c r="J1319" s="11"/>
    </row>
    <row r="1320" spans="1:10" ht="15.75" x14ac:dyDescent="0.3">
      <c r="A1320" s="12" t="str">
        <f>HYPERLINK("https://parts-sales.ru/parts/MAN/36786400200","36.78640-0200")</f>
        <v>36.78640-0200</v>
      </c>
      <c r="B1320" s="12" t="str">
        <f>HYPERLINK("https://parts-sales.ru/parts/MAN/36786400200","Крепежный элемент")</f>
        <v>Крепежный элемент</v>
      </c>
      <c r="C1320" s="3" t="s">
        <v>16</v>
      </c>
      <c r="D1320" s="4">
        <v>5626.8</v>
      </c>
      <c r="E1320" s="4">
        <v>984</v>
      </c>
      <c r="F1320" s="8">
        <v>0.83</v>
      </c>
      <c r="H1320" s="11"/>
      <c r="I1320" s="11"/>
      <c r="J1320" s="11"/>
    </row>
    <row r="1321" spans="1:10" ht="15.75" x14ac:dyDescent="0.3">
      <c r="A1321" s="13" t="str">
        <f>HYPERLINK("https://parts-sales.ru/parts/MAN/36786400204","36.78640-0204")</f>
        <v>36.78640-0204</v>
      </c>
      <c r="B1321" s="13" t="str">
        <f>HYPERLINK("https://parts-sales.ru/parts/MAN/36786400204","Крепежный элемент")</f>
        <v>Крепежный элемент</v>
      </c>
      <c r="C1321" s="5" t="s">
        <v>16</v>
      </c>
      <c r="D1321" s="6">
        <v>7764</v>
      </c>
      <c r="E1321" s="6">
        <v>1351</v>
      </c>
      <c r="F1321" s="9">
        <v>0.83</v>
      </c>
      <c r="H1321" s="11"/>
      <c r="I1321" s="11"/>
      <c r="J1321" s="11"/>
    </row>
    <row r="1322" spans="1:10" ht="15.75" x14ac:dyDescent="0.3">
      <c r="A1322" s="12" t="str">
        <f>HYPERLINK("https://parts-sales.ru/parts/MAN/36786400205","36.78640-0205")</f>
        <v>36.78640-0205</v>
      </c>
      <c r="B1322" s="12" t="str">
        <f>HYPERLINK("https://parts-sales.ru/parts/MAN/36786400205","Крепежный элемент")</f>
        <v>Крепежный элемент</v>
      </c>
      <c r="C1322" s="3" t="s">
        <v>16</v>
      </c>
      <c r="D1322" s="4">
        <v>3476.84</v>
      </c>
      <c r="E1322" s="4">
        <v>1594</v>
      </c>
      <c r="F1322" s="8">
        <v>0.54</v>
      </c>
      <c r="H1322" s="11"/>
      <c r="I1322" s="11"/>
      <c r="J1322" s="11"/>
    </row>
    <row r="1323" spans="1:10" ht="15.75" x14ac:dyDescent="0.3">
      <c r="A1323" s="13" t="str">
        <f>HYPERLINK("https://parts-sales.ru/parts/MAN/36786400238","36.78640-0238")</f>
        <v>36.78640-0238</v>
      </c>
      <c r="B1323" s="13" t="str">
        <f>HYPERLINK("https://parts-sales.ru/parts/MAN/36786400238","Распорка 5,5MM")</f>
        <v>Распорка 5,5MM</v>
      </c>
      <c r="C1323" s="5" t="s">
        <v>16</v>
      </c>
      <c r="D1323" s="6">
        <v>556.79999999999995</v>
      </c>
      <c r="E1323" s="6">
        <v>138</v>
      </c>
      <c r="F1323" s="9">
        <v>0.75</v>
      </c>
      <c r="H1323" s="11"/>
      <c r="I1323" s="11"/>
      <c r="J1323" s="11"/>
    </row>
    <row r="1324" spans="1:10" ht="15.75" x14ac:dyDescent="0.3">
      <c r="A1324" s="12" t="str">
        <f>HYPERLINK("https://parts-sales.ru/parts/MAN/36786406278","36.78640-6278")</f>
        <v>36.78640-6278</v>
      </c>
      <c r="B1324" s="12" t="str">
        <f>HYPERLINK("https://parts-sales.ru/parts/MAN/36786406278","Крепежный элемент со стороны стенки")</f>
        <v>Крепежный элемент со стороны стенки</v>
      </c>
      <c r="C1324" s="3" t="s">
        <v>16</v>
      </c>
      <c r="D1324" s="4">
        <v>7804.8</v>
      </c>
      <c r="E1324" s="4">
        <v>1813</v>
      </c>
      <c r="F1324" s="8">
        <v>0.77</v>
      </c>
      <c r="H1324" s="11"/>
      <c r="I1324" s="11"/>
      <c r="J1324" s="11"/>
    </row>
    <row r="1325" spans="1:10" ht="15.75" x14ac:dyDescent="0.3">
      <c r="A1325" s="13" t="str">
        <f>HYPERLINK("https://parts-sales.ru/parts/MAN/36786406279","36.78640-6279")</f>
        <v>36.78640-6279</v>
      </c>
      <c r="B1325" s="13" t="str">
        <f>HYPERLINK("https://parts-sales.ru/parts/MAN/36786406279","Крепежный элемент со стороны стенки")</f>
        <v>Крепежный элемент со стороны стенки</v>
      </c>
      <c r="C1325" s="5" t="s">
        <v>16</v>
      </c>
      <c r="D1325" s="6">
        <v>7804.8</v>
      </c>
      <c r="E1325" s="6">
        <v>1803</v>
      </c>
      <c r="F1325" s="9">
        <v>0.77</v>
      </c>
      <c r="H1325" s="11"/>
      <c r="I1325" s="11"/>
      <c r="J1325" s="11"/>
    </row>
    <row r="1326" spans="1:10" ht="15.75" x14ac:dyDescent="0.3">
      <c r="A1326" s="12" t="str">
        <f>HYPERLINK("https://parts-sales.ru/parts/MAN/36786406280","36.78640-6280")</f>
        <v>36.78640-6280</v>
      </c>
      <c r="B1326" s="12" t="str">
        <f>HYPERLINK("https://parts-sales.ru/parts/MAN/36786406280","Крепежный элемент со стороны стенки")</f>
        <v>Крепежный элемент со стороны стенки</v>
      </c>
      <c r="C1326" s="3" t="s">
        <v>16</v>
      </c>
      <c r="D1326" s="4">
        <v>9326.4</v>
      </c>
      <c r="E1326" s="4">
        <v>2143</v>
      </c>
      <c r="F1326" s="8">
        <v>0.77</v>
      </c>
      <c r="H1326" s="11"/>
      <c r="I1326" s="11"/>
      <c r="J1326" s="11"/>
    </row>
    <row r="1327" spans="1:10" ht="15.75" x14ac:dyDescent="0.3">
      <c r="A1327" s="13" t="str">
        <f>HYPERLINK("https://parts-sales.ru/parts/MAN/36786406281","36.78640-6281")</f>
        <v>36.78640-6281</v>
      </c>
      <c r="B1327" s="13" t="str">
        <f>HYPERLINK("https://parts-sales.ru/parts/MAN/36786406281","Крепежный элемент со стороны стенки")</f>
        <v>Крепежный элемент со стороны стенки</v>
      </c>
      <c r="C1327" s="5" t="s">
        <v>16</v>
      </c>
      <c r="D1327" s="6">
        <v>9326.4</v>
      </c>
      <c r="E1327" s="6">
        <v>2132</v>
      </c>
      <c r="F1327" s="9">
        <v>0.77</v>
      </c>
      <c r="H1327" s="11"/>
      <c r="I1327" s="11"/>
      <c r="J1327" s="11"/>
    </row>
    <row r="1328" spans="1:10" ht="15.75" x14ac:dyDescent="0.3">
      <c r="A1328" s="12" t="str">
        <f>HYPERLINK("https://parts-sales.ru/parts/MAN/36786406282","36.78640-6282")</f>
        <v>36.78640-6282</v>
      </c>
      <c r="B1328" s="12" t="str">
        <f>HYPERLINK("https://parts-sales.ru/parts/MAN/36786406282","Крепежный элемент со стороны стенки")</f>
        <v>Крепежный элемент со стороны стенки</v>
      </c>
      <c r="C1328" s="3" t="s">
        <v>16</v>
      </c>
      <c r="D1328" s="4">
        <v>8850</v>
      </c>
      <c r="E1328" s="4">
        <v>2040</v>
      </c>
      <c r="F1328" s="8">
        <v>0.77</v>
      </c>
      <c r="H1328" s="11"/>
      <c r="I1328" s="11"/>
      <c r="J1328" s="11"/>
    </row>
    <row r="1329" spans="1:10" ht="15.75" x14ac:dyDescent="0.3">
      <c r="A1329" s="13" t="str">
        <f>HYPERLINK("https://parts-sales.ru/parts/MAN/36786406283","36.78640-6283")</f>
        <v>36.78640-6283</v>
      </c>
      <c r="B1329" s="13" t="str">
        <f>HYPERLINK("https://parts-sales.ru/parts/MAN/36786406283","Крепежный элемент со стороны стенки")</f>
        <v>Крепежный элемент со стороны стенки</v>
      </c>
      <c r="C1329" s="5" t="s">
        <v>16</v>
      </c>
      <c r="D1329" s="6">
        <v>8658</v>
      </c>
      <c r="E1329" s="6">
        <v>1999</v>
      </c>
      <c r="F1329" s="9">
        <v>0.77</v>
      </c>
      <c r="H1329" s="11"/>
      <c r="I1329" s="11"/>
      <c r="J1329" s="11"/>
    </row>
    <row r="1330" spans="1:10" ht="15.75" x14ac:dyDescent="0.3">
      <c r="A1330" s="12" t="str">
        <f>HYPERLINK("https://parts-sales.ru/parts/MAN/36786406284","36.78640-6284")</f>
        <v>36.78640-6284</v>
      </c>
      <c r="B1330" s="12" t="str">
        <f>HYPERLINK("https://parts-sales.ru/parts/MAN/36786406284","Крепежный элемент со стороны стенки")</f>
        <v>Крепежный элемент со стороны стенки</v>
      </c>
      <c r="C1330" s="3" t="s">
        <v>16</v>
      </c>
      <c r="D1330" s="4">
        <v>8991.6</v>
      </c>
      <c r="E1330" s="4">
        <v>2082</v>
      </c>
      <c r="F1330" s="8">
        <v>0.77</v>
      </c>
      <c r="H1330" s="11"/>
      <c r="I1330" s="11"/>
      <c r="J1330" s="11"/>
    </row>
    <row r="1331" spans="1:10" ht="15.75" x14ac:dyDescent="0.3">
      <c r="A1331" s="13" t="str">
        <f>HYPERLINK("https://parts-sales.ru/parts/MAN/36786406285","36.78640-6285")</f>
        <v>36.78640-6285</v>
      </c>
      <c r="B1331" s="13" t="str">
        <f>HYPERLINK("https://parts-sales.ru/parts/MAN/36786406285","Крепежный элемент со стороны стенки")</f>
        <v>Крепежный элемент со стороны стенки</v>
      </c>
      <c r="C1331" s="5" t="s">
        <v>16</v>
      </c>
      <c r="D1331" s="6">
        <v>9992.4</v>
      </c>
      <c r="E1331" s="6">
        <v>2323</v>
      </c>
      <c r="F1331" s="9">
        <v>0.77</v>
      </c>
      <c r="H1331" s="11"/>
      <c r="I1331" s="11"/>
      <c r="J1331" s="11"/>
    </row>
    <row r="1332" spans="1:10" ht="15.75" x14ac:dyDescent="0.3">
      <c r="A1332" s="12" t="str">
        <f>HYPERLINK("https://parts-sales.ru/parts/MAN/36786406292","36.78640-6292")</f>
        <v>36.78640-6292</v>
      </c>
      <c r="B1332" s="12" t="str">
        <f>HYPERLINK("https://parts-sales.ru/parts/MAN/36786406292","Крепежный элемент со стороны стенки")</f>
        <v>Крепежный элемент со стороны стенки</v>
      </c>
      <c r="C1332" s="3" t="s">
        <v>16</v>
      </c>
      <c r="D1332" s="4">
        <v>8468.4</v>
      </c>
      <c r="E1332" s="4">
        <v>1858</v>
      </c>
      <c r="F1332" s="8">
        <v>0.78</v>
      </c>
      <c r="H1332" s="11"/>
      <c r="I1332" s="11"/>
      <c r="J1332" s="11"/>
    </row>
    <row r="1333" spans="1:10" ht="15.75" x14ac:dyDescent="0.3">
      <c r="A1333" s="13" t="str">
        <f>HYPERLINK("https://parts-sales.ru/parts/MAN/36786406298","36.78640-6298")</f>
        <v>36.78640-6298</v>
      </c>
      <c r="B1333" s="13" t="str">
        <f>HYPERLINK("https://parts-sales.ru/parts/MAN/36786406298","Крепежный элемент со стороны стенки")</f>
        <v>Крепежный элемент со стороны стенки</v>
      </c>
      <c r="C1333" s="5" t="s">
        <v>16</v>
      </c>
      <c r="D1333" s="6">
        <v>11703.6</v>
      </c>
      <c r="E1333" s="6">
        <v>2410</v>
      </c>
      <c r="F1333" s="9">
        <v>0.79</v>
      </c>
      <c r="H1333" s="11"/>
      <c r="I1333" s="11"/>
      <c r="J1333" s="11"/>
    </row>
    <row r="1334" spans="1:10" ht="15.75" x14ac:dyDescent="0.3">
      <c r="A1334" s="12" t="str">
        <f>HYPERLINK("https://parts-sales.ru/parts/MAN/36786406299","36.78640-6299")</f>
        <v>36.78640-6299</v>
      </c>
      <c r="B1334" s="12" t="str">
        <f>HYPERLINK("https://parts-sales.ru/parts/MAN/36786406299","Крепежный элемент со стороны стенки")</f>
        <v>Крепежный элемент со стороны стенки</v>
      </c>
      <c r="C1334" s="3" t="s">
        <v>16</v>
      </c>
      <c r="D1334" s="4">
        <v>11703.6</v>
      </c>
      <c r="E1334" s="4">
        <v>2410</v>
      </c>
      <c r="F1334" s="8">
        <v>0.79</v>
      </c>
      <c r="H1334" s="11"/>
      <c r="I1334" s="11"/>
      <c r="J1334" s="11"/>
    </row>
    <row r="1335" spans="1:10" ht="15.75" x14ac:dyDescent="0.3">
      <c r="A1335" s="13" t="str">
        <f>HYPERLINK("https://parts-sales.ru/parts/MAN/36796126234","36.79612-6234")</f>
        <v>36.79612-6234</v>
      </c>
      <c r="B1335" s="13" t="str">
        <f>HYPERLINK("https://parts-sales.ru/parts/MAN/36796126234","Система пожарной сигнализации")</f>
        <v>Система пожарной сигнализации</v>
      </c>
      <c r="C1335" s="5" t="s">
        <v>16</v>
      </c>
      <c r="D1335" s="6">
        <v>145420.79999999999</v>
      </c>
      <c r="E1335" s="6">
        <v>32776</v>
      </c>
      <c r="F1335" s="9">
        <v>0.77</v>
      </c>
      <c r="H1335" s="11"/>
      <c r="I1335" s="11"/>
      <c r="J1335" s="11"/>
    </row>
    <row r="1336" spans="1:10" ht="15.75" x14ac:dyDescent="0.3">
      <c r="A1336" s="12" t="str">
        <f>HYPERLINK("https://parts-sales.ru/parts/MAN/36904900033","36.90490-0033")</f>
        <v>36.90490-0033</v>
      </c>
      <c r="B1336" s="12" t="str">
        <f>HYPERLINK("https://parts-sales.ru/parts/MAN/36904900033","Болт с т-образной головкой M8X20-11,8X21")</f>
        <v>Болт с т-образной головкой M8X20-11,8X21</v>
      </c>
      <c r="C1336" s="3" t="s">
        <v>16</v>
      </c>
      <c r="D1336" s="4">
        <v>531.6</v>
      </c>
      <c r="E1336" s="4">
        <v>51</v>
      </c>
      <c r="F1336" s="8">
        <v>0.9</v>
      </c>
      <c r="H1336" s="11"/>
      <c r="I1336" s="11"/>
      <c r="J1336" s="11"/>
    </row>
    <row r="1337" spans="1:10" ht="15.75" x14ac:dyDescent="0.3">
      <c r="A1337" s="13" t="str">
        <f>HYPERLINK("https://parts-sales.ru/parts/MAN/36907100080","36.90710-0080")</f>
        <v>36.90710-0080</v>
      </c>
      <c r="B1337" s="13" t="str">
        <f>HYPERLINK("https://parts-sales.ru/parts/MAN/36907100080","Распорная шайба 14,1X1-ST-300HV-MAN183-B")</f>
        <v>Распорная шайба 14,1X1-ST-300HV-MAN183-B</v>
      </c>
      <c r="C1337" s="5" t="s">
        <v>16</v>
      </c>
      <c r="D1337" s="6">
        <v>547.20000000000005</v>
      </c>
      <c r="E1337" s="6">
        <v>93</v>
      </c>
      <c r="F1337" s="9">
        <v>0.83</v>
      </c>
      <c r="H1337" s="11"/>
      <c r="I1337" s="11"/>
      <c r="J1337" s="11"/>
    </row>
    <row r="1338" spans="1:10" ht="15.75" x14ac:dyDescent="0.3">
      <c r="A1338" s="12" t="str">
        <f>HYPERLINK("https://parts-sales.ru/parts/MAN/36907100081","36.90710-0081")</f>
        <v>36.90710-0081</v>
      </c>
      <c r="B1338" s="12" t="str">
        <f>HYPERLINK("https://parts-sales.ru/parts/MAN/36907100081","Распорная шайба 14,1X2-ST-300HV-MAN183-B")</f>
        <v>Распорная шайба 14,1X2-ST-300HV-MAN183-B</v>
      </c>
      <c r="C1338" s="3" t="s">
        <v>16</v>
      </c>
      <c r="D1338" s="4">
        <v>556.79999999999995</v>
      </c>
      <c r="E1338" s="4">
        <v>89</v>
      </c>
      <c r="F1338" s="8">
        <v>0.84</v>
      </c>
      <c r="H1338" s="11"/>
      <c r="I1338" s="11"/>
      <c r="J1338" s="11"/>
    </row>
    <row r="1339" spans="1:10" ht="15.75" x14ac:dyDescent="0.3">
      <c r="A1339" s="13" t="str">
        <f>HYPERLINK("https://parts-sales.ru/parts/MAN/36910200030","36.91020-0030")</f>
        <v>36.91020-0030</v>
      </c>
      <c r="B1339" s="13" t="str">
        <f>HYPERLINK("https://parts-sales.ru/parts/MAN/36910200030","Болт")</f>
        <v>Болт</v>
      </c>
      <c r="C1339" s="5" t="s">
        <v>16</v>
      </c>
      <c r="D1339" s="6">
        <v>862.8</v>
      </c>
      <c r="E1339" s="6">
        <v>148</v>
      </c>
      <c r="F1339" s="9">
        <v>0.83</v>
      </c>
      <c r="H1339" s="11"/>
      <c r="I1339" s="11"/>
      <c r="J1339" s="11"/>
    </row>
    <row r="1340" spans="1:10" ht="15.75" x14ac:dyDescent="0.3">
      <c r="A1340" s="12" t="str">
        <f>HYPERLINK("https://parts-sales.ru/parts/MAN/36961010025","36.96101-0025")</f>
        <v>36.96101-0025</v>
      </c>
      <c r="B1340" s="12" t="str">
        <f>HYPERLINK("https://parts-sales.ru/parts/MAN/36961010025","Резиновый коврик 1000X2000X10")</f>
        <v>Резиновый коврик 1000X2000X10</v>
      </c>
      <c r="C1340" s="3" t="s">
        <v>16</v>
      </c>
      <c r="D1340" s="4">
        <v>24222</v>
      </c>
      <c r="E1340" s="4">
        <v>5322</v>
      </c>
      <c r="F1340" s="8">
        <v>0.78</v>
      </c>
      <c r="H1340" s="11"/>
      <c r="I1340" s="11"/>
      <c r="J1340" s="11"/>
    </row>
    <row r="1341" spans="1:10" ht="15.75" x14ac:dyDescent="0.3">
      <c r="A1341" s="13" t="str">
        <f>HYPERLINK("https://parts-sales.ru/parts/MAN/36963010018","36.96301-0018")</f>
        <v>36.96301-0018</v>
      </c>
      <c r="B1341" s="13" t="str">
        <f>HYPERLINK("https://parts-sales.ru/parts/MAN/36963010018","Переходная муфта 22X25X90-MAN333-1")</f>
        <v>Переходная муфта 22X25X90-MAN333-1</v>
      </c>
      <c r="C1341" s="5" t="s">
        <v>16</v>
      </c>
      <c r="D1341" s="6">
        <v>3861.6</v>
      </c>
      <c r="E1341" s="6">
        <v>863</v>
      </c>
      <c r="F1341" s="9">
        <v>0.78</v>
      </c>
      <c r="H1341" s="11"/>
      <c r="I1341" s="11"/>
      <c r="J1341" s="11"/>
    </row>
    <row r="1342" spans="1:10" ht="15.75" x14ac:dyDescent="0.3">
      <c r="A1342" s="12" t="str">
        <f>HYPERLINK("https://parts-sales.ru/parts/MAN/36964100021","36.96410-0021")</f>
        <v>36.96410-0021</v>
      </c>
      <c r="B1342" s="12" t="str">
        <f>HYPERLINK("https://parts-sales.ru/parts/MAN/36964100021","Колпачок NCS S 2500 N")</f>
        <v>Колпачок NCS S 2500 N</v>
      </c>
      <c r="C1342" s="3" t="s">
        <v>16</v>
      </c>
      <c r="D1342" s="4">
        <v>351.6</v>
      </c>
      <c r="E1342" s="4">
        <v>78</v>
      </c>
      <c r="F1342" s="8">
        <v>0.78</v>
      </c>
      <c r="H1342" s="11"/>
      <c r="I1342" s="11"/>
      <c r="J1342" s="11"/>
    </row>
    <row r="1343" spans="1:10" ht="15.75" x14ac:dyDescent="0.3">
      <c r="A1343" s="13" t="str">
        <f>HYPERLINK("https://parts-sales.ru/parts/MAN/36965010003","36.96501-0003")</f>
        <v>36.96501-0003</v>
      </c>
      <c r="B1343" s="13" t="str">
        <f>HYPERLINK("https://parts-sales.ru/parts/MAN/36965010003","Круглое уплотнение 98X4-MVQ--70")</f>
        <v>Круглое уплотнение 98X4-MVQ--70</v>
      </c>
      <c r="C1343" s="5" t="s">
        <v>16</v>
      </c>
      <c r="D1343" s="6">
        <v>3202.8</v>
      </c>
      <c r="E1343" s="6">
        <v>792</v>
      </c>
      <c r="F1343" s="9">
        <v>0.75</v>
      </c>
      <c r="H1343" s="11"/>
      <c r="I1343" s="11"/>
      <c r="J1343" s="11"/>
    </row>
    <row r="1344" spans="1:10" ht="15.75" x14ac:dyDescent="0.3">
      <c r="A1344" s="12" t="str">
        <f>HYPERLINK("https://parts-sales.ru/parts/MAN/36965030017","36.96503-0017")</f>
        <v>36.96503-0017</v>
      </c>
      <c r="B1344" s="12" t="str">
        <f>HYPERLINK("https://parts-sales.ru/parts/MAN/36965030017","Радиальное уплотнение вала")</f>
        <v>Радиальное уплотнение вала</v>
      </c>
      <c r="C1344" s="3" t="s">
        <v>16</v>
      </c>
      <c r="D1344" s="4">
        <v>15066</v>
      </c>
      <c r="E1344" s="4">
        <v>3004</v>
      </c>
      <c r="F1344" s="8">
        <v>0.8</v>
      </c>
      <c r="H1344" s="11"/>
      <c r="I1344" s="11"/>
      <c r="J1344" s="11"/>
    </row>
    <row r="1345" spans="1:10" ht="15.75" x14ac:dyDescent="0.3">
      <c r="A1345" s="13" t="str">
        <f>HYPERLINK("https://parts-sales.ru/parts/MAN/36968020000","36.96802-0000")</f>
        <v>36.96802-0000</v>
      </c>
      <c r="B1345" s="13" t="str">
        <f>HYPERLINK("https://parts-sales.ru/parts/MAN/36968020000","Ремень безопасности")</f>
        <v>Ремень безопасности</v>
      </c>
      <c r="C1345" s="5" t="s">
        <v>16</v>
      </c>
      <c r="D1345" s="6">
        <v>3088.8</v>
      </c>
      <c r="E1345" s="6">
        <v>622</v>
      </c>
      <c r="F1345" s="9">
        <v>0.8</v>
      </c>
      <c r="H1345" s="11"/>
      <c r="I1345" s="11"/>
      <c r="J1345" s="11"/>
    </row>
    <row r="1346" spans="1:10" ht="15.75" x14ac:dyDescent="0.3">
      <c r="A1346" s="12" t="str">
        <f>HYPERLINK("https://parts-sales.ru/parts/MAN/36968020003","36.96802-0003")</f>
        <v>36.96802-0003</v>
      </c>
      <c r="B1346" s="12" t="str">
        <f>HYPERLINK("https://parts-sales.ru/parts/MAN/36968020003","Пристегивающий ремень")</f>
        <v>Пристегивающий ремень</v>
      </c>
      <c r="C1346" s="3" t="s">
        <v>16</v>
      </c>
      <c r="D1346" s="4">
        <v>3033.6</v>
      </c>
      <c r="E1346" s="4">
        <v>80</v>
      </c>
      <c r="F1346" s="8">
        <v>0.97</v>
      </c>
      <c r="H1346" s="11"/>
      <c r="I1346" s="11"/>
      <c r="J1346" s="11"/>
    </row>
    <row r="1347" spans="1:10" ht="15.75" x14ac:dyDescent="0.3">
      <c r="A1347" s="13" t="str">
        <f>HYPERLINK("https://parts-sales.ru/parts/MAN/36970050000","36.97005-0000")</f>
        <v>36.97005-0000</v>
      </c>
      <c r="B1347" s="13" t="str">
        <f>HYPERLINK("https://parts-sales.ru/parts/MAN/36970050000","Маховичок")</f>
        <v>Маховичок</v>
      </c>
      <c r="C1347" s="5" t="s">
        <v>16</v>
      </c>
      <c r="D1347" s="6">
        <v>1946.4</v>
      </c>
      <c r="E1347" s="6">
        <v>462</v>
      </c>
      <c r="F1347" s="9">
        <v>0.76</v>
      </c>
      <c r="H1347" s="11"/>
      <c r="I1347" s="11"/>
      <c r="J1347" s="11"/>
    </row>
    <row r="1348" spans="1:10" ht="15.75" x14ac:dyDescent="0.3">
      <c r="A1348" s="12" t="str">
        <f>HYPERLINK("https://parts-sales.ru/parts/MAN/36970066006","36.97006-6006")</f>
        <v>36.97006-6006</v>
      </c>
      <c r="B1348" s="12" t="str">
        <f>HYPERLINK("https://parts-sales.ru/parts/MAN/36970066006","Газовая пневматич. подвеска")</f>
        <v>Газовая пневматич. подвеска</v>
      </c>
      <c r="C1348" s="3" t="s">
        <v>16</v>
      </c>
      <c r="D1348" s="4">
        <v>41266.800000000003</v>
      </c>
      <c r="E1348" s="4">
        <v>8851</v>
      </c>
      <c r="F1348" s="8">
        <v>0.79</v>
      </c>
      <c r="H1348" s="11"/>
      <c r="I1348" s="11"/>
      <c r="J1348" s="11"/>
    </row>
    <row r="1349" spans="1:10" ht="15.75" x14ac:dyDescent="0.3">
      <c r="A1349" s="13" t="str">
        <f>HYPERLINK("https://parts-sales.ru/parts/MAN/36970066027","36.97006-6027")</f>
        <v>36.97006-6027</v>
      </c>
      <c r="B1349" s="13" t="str">
        <f>HYPERLINK("https://parts-sales.ru/parts/MAN/36970066027","Газовая пневматич. подвеска")</f>
        <v>Газовая пневматич. подвеска</v>
      </c>
      <c r="C1349" s="5" t="s">
        <v>16</v>
      </c>
      <c r="D1349" s="6">
        <v>8193.11</v>
      </c>
      <c r="E1349" s="6">
        <v>4926</v>
      </c>
      <c r="F1349" s="9">
        <v>0.4</v>
      </c>
      <c r="H1349" s="11"/>
      <c r="I1349" s="11"/>
      <c r="J1349" s="11"/>
    </row>
    <row r="1350" spans="1:10" ht="15.75" x14ac:dyDescent="0.3">
      <c r="A1350" s="12" t="str">
        <f>HYPERLINK("https://parts-sales.ru/parts/MAN/36970066033","36.97006-6033")</f>
        <v>36.97006-6033</v>
      </c>
      <c r="B1350" s="12" t="str">
        <f>HYPERLINK("https://parts-sales.ru/parts/MAN/36970066033","Газовая пневматич. подвеска")</f>
        <v>Газовая пневматич. подвеска</v>
      </c>
      <c r="C1350" s="3" t="s">
        <v>16</v>
      </c>
      <c r="D1350" s="4">
        <v>18709.2</v>
      </c>
      <c r="E1350" s="4">
        <v>3776</v>
      </c>
      <c r="F1350" s="8">
        <v>0.8</v>
      </c>
      <c r="H1350" s="11"/>
      <c r="I1350" s="11"/>
      <c r="J1350" s="11"/>
    </row>
    <row r="1351" spans="1:10" ht="15.75" x14ac:dyDescent="0.3">
      <c r="A1351" s="13" t="str">
        <f>HYPERLINK("https://parts-sales.ru/parts/MAN/36971136001","36.97113-6001")</f>
        <v>36.97113-6001</v>
      </c>
      <c r="B1351" s="13" t="str">
        <f>HYPERLINK("https://parts-sales.ru/parts/MAN/36971136001","Замыкающий цилиндр NS2 8861")</f>
        <v>Замыкающий цилиндр NS2 8861</v>
      </c>
      <c r="C1351" s="5" t="s">
        <v>16</v>
      </c>
      <c r="D1351" s="6">
        <v>2010</v>
      </c>
      <c r="E1351" s="6">
        <v>340</v>
      </c>
      <c r="F1351" s="9">
        <v>0.83</v>
      </c>
      <c r="H1351" s="11"/>
      <c r="I1351" s="11"/>
      <c r="J1351" s="11"/>
    </row>
    <row r="1352" spans="1:10" ht="15.75" x14ac:dyDescent="0.3">
      <c r="A1352" s="12" t="str">
        <f>HYPERLINK("https://parts-sales.ru/parts/MAN/36971150003","36.97115-0003")</f>
        <v>36.97115-0003</v>
      </c>
      <c r="B1352" s="12" t="str">
        <f>HYPERLINK("https://parts-sales.ru/parts/MAN/36971150003","Завёртка")</f>
        <v>Завёртка</v>
      </c>
      <c r="C1352" s="3" t="s">
        <v>16</v>
      </c>
      <c r="D1352" s="4">
        <v>3142.8</v>
      </c>
      <c r="E1352" s="4">
        <v>991</v>
      </c>
      <c r="F1352" s="8">
        <v>0.68</v>
      </c>
      <c r="H1352" s="11"/>
      <c r="I1352" s="11"/>
      <c r="J1352" s="11"/>
    </row>
    <row r="1353" spans="1:10" ht="15.75" x14ac:dyDescent="0.3">
      <c r="A1353" s="13" t="str">
        <f>HYPERLINK("https://parts-sales.ru/parts/MAN/36971165001","36.97116-5001")</f>
        <v>36.97116-5001</v>
      </c>
      <c r="B1353" s="13" t="str">
        <f>HYPERLINK("https://parts-sales.ru/parts/MAN/36971165001","Болт")</f>
        <v>Болт</v>
      </c>
      <c r="C1353" s="5" t="s">
        <v>16</v>
      </c>
      <c r="D1353" s="6">
        <v>6787.2</v>
      </c>
      <c r="E1353" s="6">
        <v>1379</v>
      </c>
      <c r="F1353" s="9">
        <v>0.8</v>
      </c>
      <c r="H1353" s="11"/>
      <c r="I1353" s="11"/>
      <c r="J1353" s="11"/>
    </row>
    <row r="1354" spans="1:10" ht="15.75" x14ac:dyDescent="0.3">
      <c r="A1354" s="12" t="str">
        <f>HYPERLINK("https://parts-sales.ru/parts/MAN/36971165002","36.97116-5002")</f>
        <v>36.97116-5002</v>
      </c>
      <c r="B1354" s="12" t="str">
        <f>HYPERLINK("https://parts-sales.ru/parts/MAN/36971165002","Болт")</f>
        <v>Болт</v>
      </c>
      <c r="C1354" s="3" t="s">
        <v>16</v>
      </c>
      <c r="D1354" s="4">
        <v>6787.2</v>
      </c>
      <c r="E1354" s="4">
        <v>1329</v>
      </c>
      <c r="F1354" s="8">
        <v>0.8</v>
      </c>
      <c r="H1354" s="11"/>
      <c r="I1354" s="11"/>
      <c r="J1354" s="11"/>
    </row>
    <row r="1355" spans="1:10" ht="15.75" x14ac:dyDescent="0.3">
      <c r="A1355" s="13" t="str">
        <f>HYPERLINK("https://parts-sales.ru/parts/MAN/36971166002","36.97116-6002")</f>
        <v>36.97116-6002</v>
      </c>
      <c r="B1355" s="13" t="str">
        <f>HYPERLINK("https://parts-sales.ru/parts/MAN/36971166002","Замок с ручным управлением")</f>
        <v>Замок с ручным управлением</v>
      </c>
      <c r="C1355" s="5" t="s">
        <v>16</v>
      </c>
      <c r="D1355" s="6">
        <v>26978.400000000001</v>
      </c>
      <c r="E1355" s="6">
        <v>7548</v>
      </c>
      <c r="F1355" s="9">
        <v>0.72</v>
      </c>
      <c r="H1355" s="11"/>
      <c r="I1355" s="11"/>
      <c r="J1355" s="11"/>
    </row>
    <row r="1356" spans="1:10" ht="15.75" x14ac:dyDescent="0.3">
      <c r="A1356" s="12" t="str">
        <f>HYPERLINK("https://parts-sales.ru/parts/MAN/36971166016","36.97116-6016")</f>
        <v>36.97116-6016</v>
      </c>
      <c r="B1356" s="12" t="str">
        <f>HYPERLINK("https://parts-sales.ru/parts/MAN/36971166016","Замок")</f>
        <v>Замок</v>
      </c>
      <c r="C1356" s="3" t="s">
        <v>16</v>
      </c>
      <c r="D1356" s="4">
        <v>6928.8</v>
      </c>
      <c r="E1356" s="4">
        <v>1399</v>
      </c>
      <c r="F1356" s="8">
        <v>0.8</v>
      </c>
      <c r="H1356" s="11"/>
      <c r="I1356" s="11"/>
      <c r="J1356" s="11"/>
    </row>
    <row r="1357" spans="1:10" ht="15.75" x14ac:dyDescent="0.3">
      <c r="A1357" s="13" t="str">
        <f>HYPERLINK("https://parts-sales.ru/parts/MAN/36971180014","36.97118-0014")</f>
        <v>36.97118-0014</v>
      </c>
      <c r="B1357" s="13" t="str">
        <f>HYPERLINK("https://parts-sales.ru/parts/MAN/36971180014","Ключ NS2 8869")</f>
        <v>Ключ NS2 8869</v>
      </c>
      <c r="C1357" s="5" t="s">
        <v>16</v>
      </c>
      <c r="D1357" s="6">
        <v>916.8</v>
      </c>
      <c r="E1357" s="6">
        <v>214</v>
      </c>
      <c r="F1357" s="9">
        <v>0.77</v>
      </c>
      <c r="H1357" s="11"/>
      <c r="I1357" s="11"/>
      <c r="J1357" s="11"/>
    </row>
    <row r="1358" spans="1:10" ht="15.75" x14ac:dyDescent="0.3">
      <c r="A1358" s="12" t="str">
        <f>HYPERLINK("https://parts-sales.ru/parts/MAN/36972010011","36.97201-0011")</f>
        <v>36.97201-0011</v>
      </c>
      <c r="B1358" s="12" t="str">
        <f>HYPERLINK("https://parts-sales.ru/parts/MAN/36972010011","Шарнир")</f>
        <v>Шарнир</v>
      </c>
      <c r="C1358" s="3" t="s">
        <v>16</v>
      </c>
      <c r="D1358" s="4">
        <v>6374.4</v>
      </c>
      <c r="E1358" s="4">
        <v>1389</v>
      </c>
      <c r="F1358" s="8">
        <v>0.78</v>
      </c>
      <c r="H1358" s="11"/>
      <c r="I1358" s="11"/>
      <c r="J1358" s="11"/>
    </row>
    <row r="1359" spans="1:10" ht="15.75" x14ac:dyDescent="0.3">
      <c r="A1359" s="13" t="str">
        <f>HYPERLINK("https://parts-sales.ru/parts/MAN/36974200002","36.97420-0002")</f>
        <v>36.97420-0002</v>
      </c>
      <c r="B1359" s="13" t="str">
        <f>HYPERLINK("https://parts-sales.ru/parts/MAN/36974200002","Скоба для крепления труб")</f>
        <v>Скоба для крепления труб</v>
      </c>
      <c r="C1359" s="5" t="s">
        <v>16</v>
      </c>
      <c r="D1359" s="6">
        <v>2812.8</v>
      </c>
      <c r="E1359" s="6">
        <v>710</v>
      </c>
      <c r="F1359" s="9">
        <v>0.75</v>
      </c>
      <c r="H1359" s="11"/>
      <c r="I1359" s="11"/>
      <c r="J1359" s="11"/>
    </row>
    <row r="1360" spans="1:10" ht="15.75" x14ac:dyDescent="0.3">
      <c r="A1360" s="12" t="str">
        <f>HYPERLINK("https://parts-sales.ru/parts/MAN/36974300003","36.97430-0003")</f>
        <v>36.97430-0003</v>
      </c>
      <c r="B1360" s="12" t="str">
        <f>HYPERLINK("https://parts-sales.ru/parts/MAN/36974300003","Крепление проводов 12X14X4")</f>
        <v>Крепление проводов 12X14X4</v>
      </c>
      <c r="C1360" s="3" t="s">
        <v>16</v>
      </c>
      <c r="D1360" s="4">
        <v>132</v>
      </c>
      <c r="E1360" s="4">
        <v>5</v>
      </c>
      <c r="F1360" s="8">
        <v>0.96</v>
      </c>
      <c r="H1360" s="11"/>
      <c r="I1360" s="11"/>
      <c r="J1360" s="11"/>
    </row>
    <row r="1361" spans="1:10" ht="15.75" x14ac:dyDescent="0.3">
      <c r="A1361" s="13" t="str">
        <f>HYPERLINK("https://parts-sales.ru/parts/MAN/36974800189","36.97480-0189")</f>
        <v>36.97480-0189</v>
      </c>
      <c r="B1361" s="13" t="str">
        <f>HYPERLINK("https://parts-sales.ru/parts/MAN/36974800189","Накладка")</f>
        <v>Накладка</v>
      </c>
      <c r="C1361" s="5" t="s">
        <v>16</v>
      </c>
      <c r="D1361" s="6">
        <v>1294.8</v>
      </c>
      <c r="E1361" s="6">
        <v>288</v>
      </c>
      <c r="F1361" s="9">
        <v>0.78</v>
      </c>
      <c r="H1361" s="11"/>
      <c r="I1361" s="11"/>
      <c r="J1361" s="11"/>
    </row>
    <row r="1362" spans="1:10" ht="15.75" x14ac:dyDescent="0.3">
      <c r="A1362" s="12" t="str">
        <f>HYPERLINK("https://parts-sales.ru/parts/MAN/36978012146","36.97801-2146")</f>
        <v>36.97801-2146</v>
      </c>
      <c r="B1362" s="12" t="str">
        <f>HYPERLINK("https://parts-sales.ru/parts/MAN/36978012146","Табличка-пиктограмма 50X70/KST-WS/SW")</f>
        <v>Табличка-пиктограмма 50X70/KST-WS/SW</v>
      </c>
      <c r="C1362" s="3" t="s">
        <v>16</v>
      </c>
      <c r="D1362" s="4">
        <v>2025.6</v>
      </c>
      <c r="E1362" s="4">
        <v>416</v>
      </c>
      <c r="F1362" s="8">
        <v>0.79</v>
      </c>
      <c r="H1362" s="11"/>
      <c r="I1362" s="11"/>
      <c r="J1362" s="11"/>
    </row>
    <row r="1363" spans="1:10" ht="15.75" x14ac:dyDescent="0.3">
      <c r="A1363" s="13" t="str">
        <f>HYPERLINK("https://parts-sales.ru/parts/MAN/36978012966","36.97801-2966")</f>
        <v>36.97801-2966</v>
      </c>
      <c r="B1363" s="13" t="str">
        <f>HYPERLINK("https://parts-sales.ru/parts/MAN/36978012966","Указательная табличка")</f>
        <v>Указательная табличка</v>
      </c>
      <c r="C1363" s="5" t="s">
        <v>16</v>
      </c>
      <c r="D1363" s="6">
        <v>1092</v>
      </c>
      <c r="E1363" s="6">
        <v>14</v>
      </c>
      <c r="F1363" s="9">
        <v>0.99</v>
      </c>
      <c r="H1363" s="11"/>
      <c r="I1363" s="11"/>
      <c r="J1363" s="11"/>
    </row>
    <row r="1364" spans="1:10" ht="15.75" x14ac:dyDescent="0.3">
      <c r="A1364" s="12" t="str">
        <f>HYPERLINK("https://parts-sales.ru/parts/MAN/36978712000","36.97871-2000")</f>
        <v>36.97871-2000</v>
      </c>
      <c r="B1364" s="12" t="str">
        <f>HYPERLINK("https://parts-sales.ru/parts/MAN/36978712000","Типовая табличка 119X65/KST-SW/WS")</f>
        <v>Типовая табличка 119X65/KST-SW/WS</v>
      </c>
      <c r="C1364" s="3" t="s">
        <v>16</v>
      </c>
      <c r="D1364" s="4">
        <v>17760</v>
      </c>
      <c r="E1364" s="4">
        <v>5616</v>
      </c>
      <c r="F1364" s="8">
        <v>0.68</v>
      </c>
      <c r="H1364" s="11"/>
      <c r="I1364" s="11"/>
      <c r="J1364" s="11"/>
    </row>
    <row r="1365" spans="1:10" ht="15.75" x14ac:dyDescent="0.3">
      <c r="A1365" s="13" t="str">
        <f>HYPERLINK("https://parts-sales.ru/parts/MAN/36981310076","36.98131-0076")</f>
        <v>36.98131-0076</v>
      </c>
      <c r="B1365" s="13" t="str">
        <f>HYPERLINK("https://parts-sales.ru/parts/MAN/36981310076","Y-образный соединит. штуцер для бортовой")</f>
        <v>Y-образный соединит. штуцер для бортовой</v>
      </c>
      <c r="C1365" s="5" t="s">
        <v>16</v>
      </c>
      <c r="D1365" s="6">
        <v>1174.8</v>
      </c>
      <c r="E1365" s="6">
        <v>275</v>
      </c>
      <c r="F1365" s="9">
        <v>0.77</v>
      </c>
      <c r="H1365" s="11"/>
      <c r="I1365" s="11"/>
      <c r="J1365" s="11"/>
    </row>
    <row r="1366" spans="1:10" ht="15.75" x14ac:dyDescent="0.3">
      <c r="A1366" s="12" t="str">
        <f>HYPERLINK("https://parts-sales.ru/parts/MAN/36992873244","36.99287-3244")</f>
        <v>36.99287-3244</v>
      </c>
      <c r="B1366" s="12" t="str">
        <f>HYPERLINK("https://parts-sales.ru/parts/MAN/36992873244","Руководство по эксплуатации BA ED R12 10")</f>
        <v>Руководство по эксплуатации BA ED R12 10</v>
      </c>
      <c r="C1366" s="3" t="s">
        <v>16</v>
      </c>
      <c r="D1366" s="4">
        <v>30982.799999999999</v>
      </c>
      <c r="E1366" s="4">
        <v>7844</v>
      </c>
      <c r="F1366" s="8">
        <v>0.75</v>
      </c>
      <c r="H1366" s="11"/>
      <c r="I1366" s="11"/>
      <c r="J1366" s="11"/>
    </row>
    <row r="1367" spans="1:10" ht="15.75" x14ac:dyDescent="0.3">
      <c r="A1367" s="13" t="str">
        <f>HYPERLINK("https://parts-sales.ru/parts/MAN/36992873304","36.99287-3304")</f>
        <v>36.99287-3304</v>
      </c>
      <c r="B1367" s="13" t="str">
        <f>HYPERLINK("https://parts-sales.ru/parts/MAN/36992873304","Руководство по эксплуатации  ED A2X 10 0")</f>
        <v>Руководство по эксплуатации  ED A2X 10 0</v>
      </c>
      <c r="C1367" s="5" t="s">
        <v>16</v>
      </c>
      <c r="D1367" s="6">
        <v>29791.200000000001</v>
      </c>
      <c r="E1367" s="6">
        <v>9187</v>
      </c>
      <c r="F1367" s="9">
        <v>0.69</v>
      </c>
      <c r="H1367" s="11"/>
      <c r="I1367" s="11"/>
      <c r="J1367" s="11"/>
    </row>
    <row r="1368" spans="1:10" ht="15.75" x14ac:dyDescent="0.3">
      <c r="A1368" s="12" t="str">
        <f>HYPERLINK("https://parts-sales.ru/parts/MAN/36992964044","36.99296-4044")</f>
        <v>36.99296-4044</v>
      </c>
      <c r="B1368" s="12" t="str">
        <f>HYPERLINK("https://parts-sales.ru/parts/MAN/36992964044","Специальное издание BA RB 12 03")</f>
        <v>Специальное издание BA RB 12 03</v>
      </c>
      <c r="C1368" s="3" t="s">
        <v>16</v>
      </c>
      <c r="D1368" s="4">
        <v>7447.2</v>
      </c>
      <c r="E1368" s="4">
        <v>738</v>
      </c>
      <c r="F1368" s="8">
        <v>0.9</v>
      </c>
      <c r="H1368" s="11"/>
      <c r="I1368" s="11"/>
      <c r="J1368" s="11"/>
    </row>
    <row r="1369" spans="1:10" ht="15.75" x14ac:dyDescent="0.3">
      <c r="A1369" s="13" t="str">
        <f>HYPERLINK("https://parts-sales.ru/parts/MAN/50965010434","50.96501-0434")</f>
        <v>50.96501-0434</v>
      </c>
      <c r="B1369" s="13" t="str">
        <f>HYPERLINK("https://parts-sales.ru/parts/MAN/50965010434","Круглое уплотнение 172X4-NBR--70")</f>
        <v>Круглое уплотнение 172X4-NBR--70</v>
      </c>
      <c r="C1369" s="5" t="s">
        <v>17</v>
      </c>
      <c r="D1369" s="6">
        <v>2952</v>
      </c>
      <c r="E1369" s="6">
        <v>689</v>
      </c>
      <c r="F1369" s="9">
        <v>0.77</v>
      </c>
      <c r="H1369" s="11"/>
      <c r="I1369" s="11"/>
      <c r="J1369" s="11"/>
    </row>
    <row r="1370" spans="1:10" ht="15.75" x14ac:dyDescent="0.3">
      <c r="A1370" s="12" t="str">
        <f>HYPERLINK("https://parts-sales.ru/parts/MAN/50981300264","50.98130-0264")</f>
        <v>50.98130-0264</v>
      </c>
      <c r="B1370" s="12" t="str">
        <f>HYPERLINK("https://parts-sales.ru/parts/MAN/50981300264","Переходник")</f>
        <v>Переходник</v>
      </c>
      <c r="C1370" s="3" t="s">
        <v>17</v>
      </c>
      <c r="D1370" s="4">
        <v>5373.6</v>
      </c>
      <c r="E1370" s="4">
        <v>1214</v>
      </c>
      <c r="F1370" s="8">
        <v>0.77</v>
      </c>
      <c r="H1370" s="11"/>
      <c r="I1370" s="11"/>
      <c r="J1370" s="11"/>
    </row>
    <row r="1371" spans="1:10" ht="15.75" x14ac:dyDescent="0.3">
      <c r="A1371" s="13" t="str">
        <f>HYPERLINK("https://parts-sales.ru/parts/MAN/51009006630","51.00900-6630")</f>
        <v>51.00900-6630</v>
      </c>
      <c r="B1371" s="13" t="str">
        <f>HYPERLINK("https://parts-sales.ru/parts/MAN/51009006630","Набор уплот.: головка цилиндра 4-клапан")</f>
        <v>Набор уплот.: головка цилиндра 4-клапан</v>
      </c>
      <c r="C1371" s="5" t="s">
        <v>17</v>
      </c>
      <c r="D1371" s="6">
        <v>18238.8</v>
      </c>
      <c r="E1371" s="6">
        <v>3016</v>
      </c>
      <c r="F1371" s="9">
        <v>0.83</v>
      </c>
      <c r="H1371" s="11"/>
      <c r="I1371" s="11"/>
      <c r="J1371" s="11"/>
    </row>
    <row r="1372" spans="1:10" ht="15.75" x14ac:dyDescent="0.3">
      <c r="A1372" s="12" t="str">
        <f>HYPERLINK("https://parts-sales.ru/parts/MAN/51009006653","51.00900-6653")</f>
        <v>51.00900-6653</v>
      </c>
      <c r="B1372" s="12" t="str">
        <f>HYPERLINK("https://parts-sales.ru/parts/MAN/51009006653","Набор уплот.: головка цилиндра 1 головка")</f>
        <v>Набор уплот.: головка цилиндра 1 головка</v>
      </c>
      <c r="C1372" s="3" t="s">
        <v>17</v>
      </c>
      <c r="D1372" s="4">
        <v>33820.800000000003</v>
      </c>
      <c r="E1372" s="4">
        <v>7725</v>
      </c>
      <c r="F1372" s="8">
        <v>0.77</v>
      </c>
      <c r="H1372" s="11"/>
      <c r="I1372" s="11"/>
      <c r="J1372" s="11"/>
    </row>
    <row r="1373" spans="1:10" ht="15.75" x14ac:dyDescent="0.3">
      <c r="A1373" s="13" t="str">
        <f>HYPERLINK("https://parts-sales.ru/parts/MAN/51009006681","51.00900-6681")</f>
        <v>51.00900-6681</v>
      </c>
      <c r="B1373" s="13" t="str">
        <f>HYPERLINK("https://parts-sales.ru/parts/MAN/51009006681","Набор уплот.: головка цилиндра")</f>
        <v>Набор уплот.: головка цилиндра</v>
      </c>
      <c r="C1373" s="5" t="s">
        <v>17</v>
      </c>
      <c r="D1373" s="6">
        <v>44043.92</v>
      </c>
      <c r="E1373" s="6">
        <v>26482</v>
      </c>
      <c r="F1373" s="9">
        <v>0.4</v>
      </c>
      <c r="H1373" s="11"/>
      <c r="I1373" s="11"/>
      <c r="J1373" s="11"/>
    </row>
    <row r="1374" spans="1:10" ht="15.75" x14ac:dyDescent="0.3">
      <c r="A1374" s="12" t="str">
        <f>HYPERLINK("https://parts-sales.ru/parts/MAN/51009006827","51.00900-6827")</f>
        <v>51.00900-6827</v>
      </c>
      <c r="B1374" s="12" t="str">
        <f>HYPERLINK("https://parts-sales.ru/parts/MAN/51009006827","Набор уплот.: головка цилиндра")</f>
        <v>Набор уплот.: головка цилиндра</v>
      </c>
      <c r="C1374" s="3" t="s">
        <v>17</v>
      </c>
      <c r="D1374" s="4">
        <v>20919.599999999999</v>
      </c>
      <c r="E1374" s="4">
        <v>5283</v>
      </c>
      <c r="F1374" s="8">
        <v>0.75</v>
      </c>
      <c r="H1374" s="11"/>
      <c r="I1374" s="11"/>
      <c r="J1374" s="11"/>
    </row>
    <row r="1375" spans="1:10" ht="15.75" x14ac:dyDescent="0.3">
      <c r="A1375" s="13" t="str">
        <f>HYPERLINK("https://parts-sales.ru/parts/MAN/51011006501","51.01100-6501")</f>
        <v>51.01100-6501</v>
      </c>
      <c r="B1375" s="13" t="str">
        <f>HYPERLINK("https://parts-sales.ru/parts/MAN/51011006501","Картер Комплект деталей")</f>
        <v>Картер Комплект деталей</v>
      </c>
      <c r="C1375" s="5" t="s">
        <v>17</v>
      </c>
      <c r="D1375" s="6">
        <v>17076.310000000001</v>
      </c>
      <c r="E1375" s="6">
        <v>7824</v>
      </c>
      <c r="F1375" s="9">
        <v>0.54</v>
      </c>
      <c r="H1375" s="11"/>
      <c r="I1375" s="11"/>
      <c r="J1375" s="11"/>
    </row>
    <row r="1376" spans="1:10" ht="15.75" x14ac:dyDescent="0.3">
      <c r="A1376" s="12" t="str">
        <f>HYPERLINK("https://parts-sales.ru/parts/MAN/51011080106","51.01108-0106")</f>
        <v>51.01108-0106</v>
      </c>
      <c r="B1376" s="12" t="str">
        <f>HYPERLINK("https://parts-sales.ru/parts/MAN/51011080106","Скоба блока-картера")</f>
        <v>Скоба блока-картера</v>
      </c>
      <c r="C1376" s="3" t="s">
        <v>17</v>
      </c>
      <c r="D1376" s="4">
        <v>55264.82</v>
      </c>
      <c r="E1376" s="4">
        <v>25791</v>
      </c>
      <c r="F1376" s="8">
        <v>0.53</v>
      </c>
      <c r="H1376" s="11"/>
      <c r="I1376" s="11"/>
      <c r="J1376" s="11"/>
    </row>
    <row r="1377" spans="1:10" ht="15.75" x14ac:dyDescent="0.3">
      <c r="A1377" s="13" t="str">
        <f>HYPERLINK("https://parts-sales.ru/parts/MAN/51011125065","51.01112-5065")</f>
        <v>51.01112-5065</v>
      </c>
      <c r="B1377" s="13" t="str">
        <f>HYPERLINK("https://parts-sales.ru/parts/MAN/51011125065","Глухой фланец")</f>
        <v>Глухой фланец</v>
      </c>
      <c r="C1377" s="5" t="s">
        <v>17</v>
      </c>
      <c r="D1377" s="6">
        <v>11022</v>
      </c>
      <c r="E1377" s="6">
        <v>4515</v>
      </c>
      <c r="F1377" s="9">
        <v>0.59</v>
      </c>
      <c r="H1377" s="11"/>
      <c r="I1377" s="11"/>
      <c r="J1377" s="11"/>
    </row>
    <row r="1378" spans="1:10" ht="15.75" x14ac:dyDescent="0.3">
      <c r="A1378" s="12" t="str">
        <f>HYPERLINK("https://parts-sales.ru/parts/MAN/51011136042","51.01113-6042")</f>
        <v>51.01113-6042</v>
      </c>
      <c r="B1378" s="12" t="str">
        <f>HYPERLINK("https://parts-sales.ru/parts/MAN/51011136042","Коренной подшипник нормально")</f>
        <v>Коренной подшипник нормально</v>
      </c>
      <c r="C1378" s="3" t="s">
        <v>17</v>
      </c>
      <c r="D1378" s="4">
        <v>4040.4</v>
      </c>
      <c r="E1378" s="4">
        <v>2351</v>
      </c>
      <c r="F1378" s="8">
        <v>0.42</v>
      </c>
      <c r="H1378" s="11"/>
      <c r="I1378" s="11"/>
      <c r="J1378" s="11"/>
    </row>
    <row r="1379" spans="1:10" ht="15.75" x14ac:dyDescent="0.3">
      <c r="A1379" s="13" t="str">
        <f>HYPERLINK("https://parts-sales.ru/parts/MAN/51012010298","51.01201-0298")</f>
        <v>51.01201-0298</v>
      </c>
      <c r="B1379" s="13" t="str">
        <f>HYPERLINK("https://parts-sales.ru/parts/MAN/51012010298","Гильза цилиндра нормально")</f>
        <v>Гильза цилиндра нормально</v>
      </c>
      <c r="C1379" s="5" t="s">
        <v>17</v>
      </c>
      <c r="D1379" s="6">
        <v>6694.8</v>
      </c>
      <c r="E1379" s="6">
        <v>2765</v>
      </c>
      <c r="F1379" s="9">
        <v>0.59</v>
      </c>
      <c r="H1379" s="11"/>
      <c r="I1379" s="11"/>
      <c r="J1379" s="11"/>
    </row>
    <row r="1380" spans="1:10" ht="15.75" x14ac:dyDescent="0.3">
      <c r="A1380" s="12" t="str">
        <f>HYPERLINK("https://parts-sales.ru/parts/MAN/51012010444","51.01201-0444")</f>
        <v>51.01201-0444</v>
      </c>
      <c r="B1380" s="12" t="str">
        <f>HYPERLINK("https://parts-sales.ru/parts/MAN/51012010444","Гильза цилиндра стандартное исполнение")</f>
        <v>Гильза цилиндра стандартное исполнение</v>
      </c>
      <c r="C1380" s="3" t="s">
        <v>17</v>
      </c>
      <c r="D1380" s="4">
        <v>49468.800000000003</v>
      </c>
      <c r="E1380" s="4">
        <v>10178</v>
      </c>
      <c r="F1380" s="8">
        <v>0.79</v>
      </c>
      <c r="H1380" s="11"/>
      <c r="I1380" s="11"/>
      <c r="J1380" s="11"/>
    </row>
    <row r="1381" spans="1:10" ht="15.75" x14ac:dyDescent="0.3">
      <c r="A1381" s="13" t="str">
        <f>HYPERLINK("https://parts-sales.ru/parts/MAN/51014016264","51.01401-6264")</f>
        <v>51.01401-6264</v>
      </c>
      <c r="B1381" s="13" t="str">
        <f>HYPERLINK("https://parts-sales.ru/parts/MAN/51014016264","Кожух маховика SAE 1")</f>
        <v>Кожух маховика SAE 1</v>
      </c>
      <c r="C1381" s="5" t="s">
        <v>17</v>
      </c>
      <c r="D1381" s="6">
        <v>491528.4</v>
      </c>
      <c r="E1381" s="6">
        <v>26062</v>
      </c>
      <c r="F1381" s="9">
        <v>0.95</v>
      </c>
      <c r="H1381" s="11"/>
      <c r="I1381" s="11"/>
      <c r="J1381" s="11"/>
    </row>
    <row r="1382" spans="1:10" ht="15.75" x14ac:dyDescent="0.3">
      <c r="A1382" s="12" t="str">
        <f>HYPERLINK("https://parts-sales.ru/parts/MAN/51015106004","51.01510-6004")</f>
        <v>51.01510-6004</v>
      </c>
      <c r="B1382" s="12" t="str">
        <f>HYPERLINK("https://parts-sales.ru/parts/MAN/51015106004","Радиальное уплотнение вала 105X130X12RD-")</f>
        <v>Радиальное уплотнение вала 105X130X12RD-</v>
      </c>
      <c r="C1382" s="3" t="s">
        <v>17</v>
      </c>
      <c r="D1382" s="4">
        <v>13912.8</v>
      </c>
      <c r="E1382" s="4">
        <v>5054</v>
      </c>
      <c r="F1382" s="8">
        <v>0.64</v>
      </c>
      <c r="H1382" s="11"/>
      <c r="I1382" s="11"/>
      <c r="J1382" s="11"/>
    </row>
    <row r="1383" spans="1:10" ht="15.75" x14ac:dyDescent="0.3">
      <c r="A1383" s="13" t="str">
        <f>HYPERLINK("https://parts-sales.ru/parts/MAN/51015107002","51.01510-7002")</f>
        <v>51.01510-7002</v>
      </c>
      <c r="B1383" s="13" t="str">
        <f>HYPERLINK("https://parts-sales.ru/parts/MAN/51015107002","Радиальное уплотнение вала")</f>
        <v>Радиальное уплотнение вала</v>
      </c>
      <c r="C1383" s="5" t="s">
        <v>17</v>
      </c>
      <c r="D1383" s="6">
        <v>35686.800000000003</v>
      </c>
      <c r="E1383" s="6">
        <v>8907</v>
      </c>
      <c r="F1383" s="9">
        <v>0.75</v>
      </c>
      <c r="H1383" s="11"/>
      <c r="I1383" s="11"/>
      <c r="J1383" s="11"/>
    </row>
    <row r="1384" spans="1:10" ht="15.75" x14ac:dyDescent="0.3">
      <c r="A1384" s="12" t="str">
        <f>HYPERLINK("https://parts-sales.ru/parts/MAN/51016015065","51.01601-5065")</f>
        <v>51.01601-5065</v>
      </c>
      <c r="B1384" s="12" t="str">
        <f>HYPERLINK("https://parts-sales.ru/parts/MAN/51016015065","Маслоразбрызгив. форсунка")</f>
        <v>Маслоразбрызгив. форсунка</v>
      </c>
      <c r="C1384" s="3" t="s">
        <v>17</v>
      </c>
      <c r="D1384" s="4">
        <v>2522.4</v>
      </c>
      <c r="E1384" s="4">
        <v>858</v>
      </c>
      <c r="F1384" s="8">
        <v>0.66</v>
      </c>
      <c r="H1384" s="11"/>
      <c r="I1384" s="11"/>
      <c r="J1384" s="11"/>
    </row>
    <row r="1385" spans="1:10" ht="15.75" x14ac:dyDescent="0.3">
      <c r="A1385" s="13" t="str">
        <f>HYPERLINK("https://parts-sales.ru/parts/MAN/51018046003","51.01804-6003")</f>
        <v>51.01804-6003</v>
      </c>
      <c r="B1385" s="13" t="str">
        <f>HYPERLINK("https://parts-sales.ru/parts/MAN/51018046003","Корпус клапана")</f>
        <v>Корпус клапана</v>
      </c>
      <c r="C1385" s="5" t="s">
        <v>17</v>
      </c>
      <c r="D1385" s="6">
        <v>12414</v>
      </c>
      <c r="E1385" s="6">
        <v>4965</v>
      </c>
      <c r="F1385" s="9">
        <v>0.6</v>
      </c>
      <c r="H1385" s="11"/>
      <c r="I1385" s="11"/>
      <c r="J1385" s="11"/>
    </row>
    <row r="1386" spans="1:10" ht="15.75" x14ac:dyDescent="0.3">
      <c r="A1386" s="12" t="str">
        <f>HYPERLINK("https://parts-sales.ru/parts/MAN/51018047023","51.01804-7023")</f>
        <v>51.01804-7023</v>
      </c>
      <c r="B1386" s="12" t="str">
        <f>HYPERLINK("https://parts-sales.ru/parts/MAN/51018047023","Клапан маслоотделителя")</f>
        <v>Клапан маслоотделителя</v>
      </c>
      <c r="C1386" s="3" t="s">
        <v>17</v>
      </c>
      <c r="D1386" s="4">
        <v>16727.060000000001</v>
      </c>
      <c r="E1386" s="4">
        <v>6979</v>
      </c>
      <c r="F1386" s="8">
        <v>0.57999999999999996</v>
      </c>
      <c r="H1386" s="11"/>
      <c r="I1386" s="11"/>
      <c r="J1386" s="11"/>
    </row>
    <row r="1387" spans="1:10" ht="15.75" x14ac:dyDescent="0.3">
      <c r="A1387" s="13" t="str">
        <f>HYPERLINK("https://parts-sales.ru/parts/MAN/51018047042","51.01804-7042")</f>
        <v>51.01804-7042</v>
      </c>
      <c r="B1387" s="13" t="str">
        <f>HYPERLINK("https://parts-sales.ru/parts/MAN/51018047042","Маслоотделитель")</f>
        <v>Маслоотделитель</v>
      </c>
      <c r="C1387" s="5" t="s">
        <v>17</v>
      </c>
      <c r="D1387" s="6">
        <v>117926.39999999999</v>
      </c>
      <c r="E1387" s="6">
        <v>50435</v>
      </c>
      <c r="F1387" s="9">
        <v>0.56999999999999995</v>
      </c>
      <c r="H1387" s="11"/>
      <c r="I1387" s="11"/>
      <c r="J1387" s="11"/>
    </row>
    <row r="1388" spans="1:10" ht="15.75" x14ac:dyDescent="0.3">
      <c r="A1388" s="12" t="str">
        <f>HYPERLINK("https://parts-sales.ru/parts/MAN/51018400056","51.01840-0056")</f>
        <v>51.01840-0056</v>
      </c>
      <c r="B1388" s="12" t="str">
        <f>HYPERLINK("https://parts-sales.ru/parts/MAN/51018400056","Держатель")</f>
        <v>Держатель</v>
      </c>
      <c r="C1388" s="3" t="s">
        <v>17</v>
      </c>
      <c r="D1388" s="4">
        <v>2174.4</v>
      </c>
      <c r="E1388" s="4">
        <v>504</v>
      </c>
      <c r="F1388" s="8">
        <v>0.77</v>
      </c>
      <c r="H1388" s="11"/>
      <c r="I1388" s="11"/>
      <c r="J1388" s="11"/>
    </row>
    <row r="1389" spans="1:10" ht="15.75" x14ac:dyDescent="0.3">
      <c r="A1389" s="13" t="str">
        <f>HYPERLINK("https://parts-sales.ru/parts/MAN/51019030243","51.01903-0243")</f>
        <v>51.01903-0243</v>
      </c>
      <c r="B1389" s="13" t="str">
        <f>HYPERLINK("https://parts-sales.ru/parts/MAN/51019030243","Уплотнение без асбеста")</f>
        <v>Уплотнение без асбеста</v>
      </c>
      <c r="C1389" s="5" t="s">
        <v>17</v>
      </c>
      <c r="D1389" s="6">
        <v>2511.6</v>
      </c>
      <c r="E1389" s="6">
        <v>456</v>
      </c>
      <c r="F1389" s="9">
        <v>0.82</v>
      </c>
      <c r="H1389" s="11"/>
      <c r="I1389" s="11"/>
      <c r="J1389" s="11"/>
    </row>
    <row r="1390" spans="1:10" ht="15.75" x14ac:dyDescent="0.3">
      <c r="A1390" s="12" t="str">
        <f>HYPERLINK("https://parts-sales.ru/parts/MAN/51019030252","51.01903-0252")</f>
        <v>51.01903-0252</v>
      </c>
      <c r="B1390" s="12" t="str">
        <f>HYPERLINK("https://parts-sales.ru/parts/MAN/51019030252","Уплотн. картера рул. механизма без асбес")</f>
        <v>Уплотн. картера рул. механизма без асбес</v>
      </c>
      <c r="C1390" s="3" t="s">
        <v>17</v>
      </c>
      <c r="D1390" s="4">
        <v>17890.8</v>
      </c>
      <c r="E1390" s="4">
        <v>6262</v>
      </c>
      <c r="F1390" s="8">
        <v>0.65</v>
      </c>
      <c r="H1390" s="11"/>
      <c r="I1390" s="11"/>
      <c r="J1390" s="11"/>
    </row>
    <row r="1391" spans="1:10" ht="15.75" x14ac:dyDescent="0.3">
      <c r="A1391" s="13" t="str">
        <f>HYPERLINK("https://parts-sales.ru/parts/MAN/51019030262","51.01903-0262")</f>
        <v>51.01903-0262</v>
      </c>
      <c r="B1391" s="13" t="str">
        <f>HYPERLINK("https://parts-sales.ru/parts/MAN/51019030262","Уплотн. картера рул. механизма без асбес")</f>
        <v>Уплотн. картера рул. механизма без асбес</v>
      </c>
      <c r="C1391" s="5" t="s">
        <v>17</v>
      </c>
      <c r="D1391" s="6">
        <v>6879.6</v>
      </c>
      <c r="E1391" s="6">
        <v>1038</v>
      </c>
      <c r="F1391" s="9">
        <v>0.85</v>
      </c>
      <c r="H1391" s="11"/>
      <c r="I1391" s="11"/>
      <c r="J1391" s="11"/>
    </row>
    <row r="1392" spans="1:10" ht="15.75" x14ac:dyDescent="0.3">
      <c r="A1392" s="12" t="str">
        <f>HYPERLINK("https://parts-sales.ru/parts/MAN/51019030273","51.01903-0273")</f>
        <v>51.01903-0273</v>
      </c>
      <c r="B1392" s="12" t="str">
        <f>HYPERLINK("https://parts-sales.ru/parts/MAN/51019030273","Уплотн. картера рул. механизма без асбес")</f>
        <v>Уплотн. картера рул. механизма без асбес</v>
      </c>
      <c r="C1392" s="3" t="s">
        <v>17</v>
      </c>
      <c r="D1392" s="4">
        <v>2967.6</v>
      </c>
      <c r="E1392" s="4">
        <v>241</v>
      </c>
      <c r="F1392" s="8">
        <v>0.92</v>
      </c>
      <c r="H1392" s="11"/>
      <c r="I1392" s="11"/>
      <c r="J1392" s="11"/>
    </row>
    <row r="1393" spans="1:10" ht="15.75" x14ac:dyDescent="0.3">
      <c r="A1393" s="13" t="str">
        <f>HYPERLINK("https://parts-sales.ru/parts/MAN/51019030295","51.01903-0295")</f>
        <v>51.01903-0295</v>
      </c>
      <c r="B1393" s="13" t="str">
        <f>HYPERLINK("https://parts-sales.ru/parts/MAN/51019030295","Уплотнение")</f>
        <v>Уплотнение</v>
      </c>
      <c r="C1393" s="5" t="s">
        <v>17</v>
      </c>
      <c r="D1393" s="6">
        <v>1885.2</v>
      </c>
      <c r="E1393" s="6">
        <v>440</v>
      </c>
      <c r="F1393" s="9">
        <v>0.77</v>
      </c>
      <c r="H1393" s="11"/>
      <c r="I1393" s="11"/>
      <c r="J1393" s="11"/>
    </row>
    <row r="1394" spans="1:10" ht="15.75" x14ac:dyDescent="0.3">
      <c r="A1394" s="12" t="str">
        <f>HYPERLINK("https://parts-sales.ru/parts/MAN/51019030322","51.01903-0322")</f>
        <v>51.01903-0322</v>
      </c>
      <c r="B1394" s="12" t="str">
        <f>HYPERLINK("https://parts-sales.ru/parts/MAN/51019030322","Уплотн. картера рул. механизма")</f>
        <v>Уплотн. картера рул. механизма</v>
      </c>
      <c r="C1394" s="3" t="s">
        <v>17</v>
      </c>
      <c r="D1394" s="4">
        <v>11950.8</v>
      </c>
      <c r="E1394" s="4">
        <v>4033</v>
      </c>
      <c r="F1394" s="8">
        <v>0.66</v>
      </c>
      <c r="H1394" s="11"/>
      <c r="I1394" s="11"/>
      <c r="J1394" s="11"/>
    </row>
    <row r="1395" spans="1:10" ht="15.75" x14ac:dyDescent="0.3">
      <c r="A1395" s="13" t="str">
        <f>HYPERLINK("https://parts-sales.ru/parts/MAN/51019030333","51.01903-0333")</f>
        <v>51.01903-0333</v>
      </c>
      <c r="B1395" s="13" t="str">
        <f>HYPERLINK("https://parts-sales.ru/parts/MAN/51019030333","Уплотн. картера рул. механизма")</f>
        <v>Уплотн. картера рул. механизма</v>
      </c>
      <c r="C1395" s="5" t="s">
        <v>17</v>
      </c>
      <c r="D1395" s="6">
        <v>7795.2</v>
      </c>
      <c r="E1395" s="6">
        <v>1753</v>
      </c>
      <c r="F1395" s="9">
        <v>0.78</v>
      </c>
      <c r="H1395" s="11"/>
      <c r="I1395" s="11"/>
      <c r="J1395" s="11"/>
    </row>
    <row r="1396" spans="1:10" ht="15.75" x14ac:dyDescent="0.3">
      <c r="A1396" s="12" t="str">
        <f>HYPERLINK("https://parts-sales.ru/parts/MAN/51019040010","51.01904-0010")</f>
        <v>51.01904-0010</v>
      </c>
      <c r="B1396" s="12" t="str">
        <f>HYPERLINK("https://parts-sales.ru/parts/MAN/51019040010","Уплотнение Кожух маховика")</f>
        <v>Уплотнение Кожух маховика</v>
      </c>
      <c r="C1396" s="3" t="s">
        <v>17</v>
      </c>
      <c r="D1396" s="4">
        <v>34899.599999999999</v>
      </c>
      <c r="E1396" s="4">
        <v>7160</v>
      </c>
      <c r="F1396" s="8">
        <v>0.79</v>
      </c>
      <c r="H1396" s="11"/>
      <c r="I1396" s="11"/>
      <c r="J1396" s="11"/>
    </row>
    <row r="1397" spans="1:10" ht="15.75" x14ac:dyDescent="0.3">
      <c r="A1397" s="13" t="str">
        <f>HYPERLINK("https://parts-sales.ru/parts/MAN/51021019095","51.02101-9095")</f>
        <v>51.02101-9095</v>
      </c>
      <c r="B1397" s="13" t="str">
        <f>HYPERLINK("https://parts-sales.ru/parts/MAN/51021019095","Коленчатый вал")</f>
        <v>Коленчатый вал</v>
      </c>
      <c r="C1397" s="5" t="s">
        <v>17</v>
      </c>
      <c r="D1397" s="6">
        <v>119492.68</v>
      </c>
      <c r="E1397" s="6">
        <v>49857</v>
      </c>
      <c r="F1397" s="9">
        <v>0.57999999999999996</v>
      </c>
      <c r="H1397" s="11"/>
      <c r="I1397" s="11"/>
      <c r="J1397" s="11"/>
    </row>
    <row r="1398" spans="1:10" ht="15.75" x14ac:dyDescent="0.3">
      <c r="A1398" s="12" t="str">
        <f>HYPERLINK("https://parts-sales.ru/parts/MAN/51021300032","51.02130-0032")</f>
        <v>51.02130-0032</v>
      </c>
      <c r="B1398" s="12" t="str">
        <f>HYPERLINK("https://parts-sales.ru/parts/MAN/51021300032","Беговое кольцо Диаметр")</f>
        <v>Беговое кольцо Диаметр</v>
      </c>
      <c r="C1398" s="3" t="s">
        <v>17</v>
      </c>
      <c r="D1398" s="4">
        <v>18888</v>
      </c>
      <c r="E1398" s="4">
        <v>6033</v>
      </c>
      <c r="F1398" s="8">
        <v>0.68</v>
      </c>
      <c r="H1398" s="11"/>
      <c r="I1398" s="11"/>
      <c r="J1398" s="11"/>
    </row>
    <row r="1399" spans="1:10" ht="15.75" x14ac:dyDescent="0.3">
      <c r="A1399" s="13" t="str">
        <f>HYPERLINK("https://parts-sales.ru/parts/MAN/51024006034","51.02400-6034")</f>
        <v>51.02400-6034</v>
      </c>
      <c r="B1399" s="13" t="str">
        <f>HYPERLINK("https://parts-sales.ru/parts/MAN/51024006034","Шатун")</f>
        <v>Шатун</v>
      </c>
      <c r="C1399" s="5" t="s">
        <v>17</v>
      </c>
      <c r="D1399" s="6">
        <v>115063.2</v>
      </c>
      <c r="E1399" s="6">
        <v>27786</v>
      </c>
      <c r="F1399" s="9">
        <v>0.76</v>
      </c>
      <c r="H1399" s="11"/>
      <c r="I1399" s="11"/>
      <c r="J1399" s="11"/>
    </row>
    <row r="1400" spans="1:10" ht="15.75" x14ac:dyDescent="0.3">
      <c r="A1400" s="12" t="str">
        <f>HYPERLINK("https://parts-sales.ru/parts/MAN/51024006054","51.02400-6054")</f>
        <v>51.02400-6054</v>
      </c>
      <c r="B1400" s="12" t="str">
        <f>HYPERLINK("https://parts-sales.ru/parts/MAN/51024006054","Шатун")</f>
        <v>Шатун</v>
      </c>
      <c r="C1400" s="3" t="s">
        <v>17</v>
      </c>
      <c r="D1400" s="4">
        <v>69789.600000000006</v>
      </c>
      <c r="E1400" s="4">
        <v>35529</v>
      </c>
      <c r="F1400" s="8">
        <v>0.49</v>
      </c>
      <c r="H1400" s="11"/>
      <c r="I1400" s="11"/>
      <c r="J1400" s="11"/>
    </row>
    <row r="1401" spans="1:10" ht="15.75" x14ac:dyDescent="0.3">
      <c r="A1401" s="13" t="str">
        <f>HYPERLINK("https://parts-sales.ru/parts/MAN/51024106669","51.02410-6669")</f>
        <v>51.02410-6669</v>
      </c>
      <c r="B1401" s="13" t="str">
        <f>HYPERLINK("https://parts-sales.ru/parts/MAN/51024106669","Подшипник шатуна Ремонтная ступень 2 = 0")</f>
        <v>Подшипник шатуна Ремонтная ступень 2 = 0</v>
      </c>
      <c r="C1401" s="5" t="s">
        <v>17</v>
      </c>
      <c r="D1401" s="6">
        <v>9445.2000000000007</v>
      </c>
      <c r="E1401" s="6">
        <v>3846</v>
      </c>
      <c r="F1401" s="9">
        <v>0.59</v>
      </c>
      <c r="H1401" s="11"/>
      <c r="I1401" s="11"/>
      <c r="J1401" s="11"/>
    </row>
    <row r="1402" spans="1:10" ht="15.75" x14ac:dyDescent="0.3">
      <c r="A1402" s="12" t="str">
        <f>HYPERLINK("https://parts-sales.ru/parts/MAN/51025006023","51.02500-6023")</f>
        <v>51.02500-6023</v>
      </c>
      <c r="B1402" s="12" t="str">
        <f>HYPERLINK("https://parts-sales.ru/parts/MAN/51025006023","Поршень двигателя нормально")</f>
        <v>Поршень двигателя нормально</v>
      </c>
      <c r="C1402" s="3" t="s">
        <v>17</v>
      </c>
      <c r="D1402" s="4">
        <v>46698</v>
      </c>
      <c r="E1402" s="4">
        <v>28868</v>
      </c>
      <c r="F1402" s="8">
        <v>0.38</v>
      </c>
      <c r="H1402" s="11"/>
      <c r="I1402" s="11"/>
      <c r="J1402" s="11"/>
    </row>
    <row r="1403" spans="1:10" ht="15.75" x14ac:dyDescent="0.3">
      <c r="A1403" s="13" t="str">
        <f>HYPERLINK("https://parts-sales.ru/parts/MAN/51025006300","51.02500-6300")</f>
        <v>51.02500-6300</v>
      </c>
      <c r="B1403" s="13" t="str">
        <f>HYPERLINK("https://parts-sales.ru/parts/MAN/51025006300","Поршень")</f>
        <v>Поршень</v>
      </c>
      <c r="C1403" s="5" t="s">
        <v>17</v>
      </c>
      <c r="D1403" s="6">
        <v>93536.4</v>
      </c>
      <c r="E1403" s="6">
        <v>21861</v>
      </c>
      <c r="F1403" s="9">
        <v>0.77</v>
      </c>
      <c r="H1403" s="11"/>
      <c r="I1403" s="11"/>
      <c r="J1403" s="11"/>
    </row>
    <row r="1404" spans="1:10" ht="15.75" x14ac:dyDescent="0.3">
      <c r="A1404" s="12" t="str">
        <f>HYPERLINK("https://parts-sales.ru/parts/MAN/51025006490","51.02500-6490")</f>
        <v>51.02500-6490</v>
      </c>
      <c r="B1404" s="12" t="str">
        <f>HYPERLINK("https://parts-sales.ru/parts/MAN/51025006490","Комплект поршней двигателя 138")</f>
        <v>Комплект поршней двигателя 138</v>
      </c>
      <c r="C1404" s="3" t="s">
        <v>17</v>
      </c>
      <c r="D1404" s="4">
        <v>92872.22</v>
      </c>
      <c r="E1404" s="4">
        <v>38792</v>
      </c>
      <c r="F1404" s="8">
        <v>0.57999999999999996</v>
      </c>
      <c r="H1404" s="11"/>
      <c r="I1404" s="11"/>
      <c r="J1404" s="11"/>
    </row>
    <row r="1405" spans="1:10" ht="15.75" x14ac:dyDescent="0.3">
      <c r="A1405" s="13" t="str">
        <f>HYPERLINK("https://parts-sales.ru/parts/MAN/51025030751","51.02503-0751")</f>
        <v>51.02503-0751</v>
      </c>
      <c r="B1405" s="13" t="str">
        <f>HYPERLINK("https://parts-sales.ru/parts/MAN/51025030751","Трапециевидное кольцо")</f>
        <v>Трапециевидное кольцо</v>
      </c>
      <c r="C1405" s="5" t="s">
        <v>17</v>
      </c>
      <c r="D1405" s="6">
        <v>5024.21</v>
      </c>
      <c r="E1405" s="6">
        <v>2302</v>
      </c>
      <c r="F1405" s="9">
        <v>0.54</v>
      </c>
      <c r="H1405" s="11"/>
      <c r="I1405" s="11"/>
      <c r="J1405" s="11"/>
    </row>
    <row r="1406" spans="1:10" ht="15.75" x14ac:dyDescent="0.3">
      <c r="A1406" s="12" t="str">
        <f>HYPERLINK("https://parts-sales.ru/parts/MAN/51025030753","51.02503-0753")</f>
        <v>51.02503-0753</v>
      </c>
      <c r="B1406" s="12" t="str">
        <f>HYPERLINK("https://parts-sales.ru/parts/MAN/51025030753","Трапециевидное кольцо")</f>
        <v>Трапециевидное кольцо</v>
      </c>
      <c r="C1406" s="3" t="s">
        <v>17</v>
      </c>
      <c r="D1406" s="4">
        <v>5024.21</v>
      </c>
      <c r="E1406" s="4">
        <v>2302</v>
      </c>
      <c r="F1406" s="8">
        <v>0.54</v>
      </c>
      <c r="H1406" s="11"/>
      <c r="I1406" s="11"/>
      <c r="J1406" s="11"/>
    </row>
    <row r="1407" spans="1:10" ht="15.75" x14ac:dyDescent="0.3">
      <c r="A1407" s="13" t="str">
        <f>HYPERLINK("https://parts-sales.ru/parts/MAN/51025030792","51.02503-0792")</f>
        <v>51.02503-0792</v>
      </c>
      <c r="B1407" s="13" t="str">
        <f>HYPERLINK("https://parts-sales.ru/parts/MAN/51025030792","Поршн. кольцо (компрессионное) хромирова")</f>
        <v>Поршн. кольцо (компрессионное) хромирова</v>
      </c>
      <c r="C1407" s="5" t="s">
        <v>17</v>
      </c>
      <c r="D1407" s="6">
        <v>2474.4</v>
      </c>
      <c r="E1407" s="6">
        <v>882</v>
      </c>
      <c r="F1407" s="9">
        <v>0.64</v>
      </c>
      <c r="H1407" s="11"/>
      <c r="I1407" s="11"/>
      <c r="J1407" s="11"/>
    </row>
    <row r="1408" spans="1:10" ht="15.75" x14ac:dyDescent="0.3">
      <c r="A1408" s="12" t="str">
        <f>HYPERLINK("https://parts-sales.ru/parts/MAN/51025030813","51.02503-0813")</f>
        <v>51.02503-0813</v>
      </c>
      <c r="B1408" s="12" t="str">
        <f>HYPERLINK("https://parts-sales.ru/parts/MAN/51025030813","Трапециевидное кольцо 108,00")</f>
        <v>Трапециевидное кольцо 108,00</v>
      </c>
      <c r="C1408" s="3" t="s">
        <v>17</v>
      </c>
      <c r="D1408" s="4">
        <v>7191.6</v>
      </c>
      <c r="E1408" s="4">
        <v>1674</v>
      </c>
      <c r="F1408" s="8">
        <v>0.77</v>
      </c>
      <c r="H1408" s="11"/>
      <c r="I1408" s="11"/>
      <c r="J1408" s="11"/>
    </row>
    <row r="1409" spans="1:10" ht="15.75" x14ac:dyDescent="0.3">
      <c r="A1409" s="13" t="str">
        <f>HYPERLINK("https://parts-sales.ru/parts/MAN/51025030814","51.02503-0814")</f>
        <v>51.02503-0814</v>
      </c>
      <c r="B1409" s="13" t="str">
        <f>HYPERLINK("https://parts-sales.ru/parts/MAN/51025030814","Поршн. кольцо (компрессионное) 108,00")</f>
        <v>Поршн. кольцо (компрессионное) 108,00</v>
      </c>
      <c r="C1409" s="5" t="s">
        <v>17</v>
      </c>
      <c r="D1409" s="6">
        <v>1920</v>
      </c>
      <c r="E1409" s="6">
        <v>1082</v>
      </c>
      <c r="F1409" s="9">
        <v>0.44</v>
      </c>
      <c r="H1409" s="11"/>
      <c r="I1409" s="11"/>
      <c r="J1409" s="11"/>
    </row>
    <row r="1410" spans="1:10" ht="15.75" x14ac:dyDescent="0.3">
      <c r="A1410" s="12" t="str">
        <f>HYPERLINK("https://parts-sales.ru/parts/MAN/51025030838","51.02503-0838")</f>
        <v>51.02503-0838</v>
      </c>
      <c r="B1410" s="12" t="str">
        <f>HYPERLINK("https://parts-sales.ru/parts/MAN/51025030838","Поршн. кольцо (маслосъемное) 108,0mm")</f>
        <v>Поршн. кольцо (маслосъемное) 108,0mm</v>
      </c>
      <c r="C1410" s="3" t="s">
        <v>17</v>
      </c>
      <c r="D1410" s="4">
        <v>4479.6000000000004</v>
      </c>
      <c r="E1410" s="4">
        <v>2245</v>
      </c>
      <c r="F1410" s="8">
        <v>0.5</v>
      </c>
      <c r="H1410" s="11"/>
      <c r="I1410" s="11"/>
      <c r="J1410" s="11"/>
    </row>
    <row r="1411" spans="1:10" ht="15.75" x14ac:dyDescent="0.3">
      <c r="A1411" s="13" t="str">
        <f>HYPERLINK("https://parts-sales.ru/parts/MAN/51025030854","51.02503-0854")</f>
        <v>51.02503-0854</v>
      </c>
      <c r="B1411" s="13" t="str">
        <f>HYPERLINK("https://parts-sales.ru/parts/MAN/51025030854","Поршн. кольцо (компрессионное) хромирова")</f>
        <v>Поршн. кольцо (компрессионное) хромирова</v>
      </c>
      <c r="C1411" s="5" t="s">
        <v>17</v>
      </c>
      <c r="D1411" s="6">
        <v>4268.3999999999996</v>
      </c>
      <c r="E1411" s="6">
        <v>833</v>
      </c>
      <c r="F1411" s="9">
        <v>0.8</v>
      </c>
      <c r="H1411" s="11"/>
      <c r="I1411" s="11"/>
      <c r="J1411" s="11"/>
    </row>
    <row r="1412" spans="1:10" ht="15.75" x14ac:dyDescent="0.3">
      <c r="A1412" s="12" t="str">
        <f>HYPERLINK("https://parts-sales.ru/parts/MAN/51025117225","51.02511-7225")</f>
        <v>51.02511-7225</v>
      </c>
      <c r="B1412" s="12" t="str">
        <f>HYPERLINK("https://parts-sales.ru/parts/MAN/51025117225","Поршень мотора стационарный нормально")</f>
        <v>Поршень мотора стационарный нормально</v>
      </c>
      <c r="C1412" s="3" t="s">
        <v>17</v>
      </c>
      <c r="D1412" s="4">
        <v>172922.4</v>
      </c>
      <c r="E1412" s="4">
        <v>38254</v>
      </c>
      <c r="F1412" s="8">
        <v>0.78</v>
      </c>
      <c r="H1412" s="11"/>
      <c r="I1412" s="11"/>
      <c r="J1412" s="11"/>
    </row>
    <row r="1413" spans="1:10" ht="15.75" x14ac:dyDescent="0.3">
      <c r="A1413" s="13" t="str">
        <f>HYPERLINK("https://parts-sales.ru/parts/MAN/51026010571","51.02601-0571")</f>
        <v>51.02601-0571</v>
      </c>
      <c r="B1413" s="13" t="str">
        <f>HYPERLINK("https://parts-sales.ru/parts/MAN/51026010571","Шкив поликлинового ремня")</f>
        <v>Шкив поликлинового ремня</v>
      </c>
      <c r="C1413" s="5" t="s">
        <v>17</v>
      </c>
      <c r="D1413" s="6">
        <v>87646.8</v>
      </c>
      <c r="E1413" s="6">
        <v>18516</v>
      </c>
      <c r="F1413" s="9">
        <v>0.79</v>
      </c>
      <c r="H1413" s="11"/>
      <c r="I1413" s="11"/>
      <c r="J1413" s="11"/>
    </row>
    <row r="1414" spans="1:10" ht="15.75" x14ac:dyDescent="0.3">
      <c r="A1414" s="12" t="str">
        <f>HYPERLINK("https://parts-sales.ru/parts/MAN/51032010106","51.03201-0106")</f>
        <v>51.03201-0106</v>
      </c>
      <c r="B1414" s="12" t="str">
        <f>HYPERLINK("https://parts-sales.ru/parts/MAN/51032010106","Управление клапана 16,00")</f>
        <v>Управление клапана 16,00</v>
      </c>
      <c r="C1414" s="3" t="s">
        <v>17</v>
      </c>
      <c r="D1414" s="4">
        <v>6241.2</v>
      </c>
      <c r="E1414" s="4">
        <v>1367</v>
      </c>
      <c r="F1414" s="8">
        <v>0.78</v>
      </c>
      <c r="H1414" s="11"/>
      <c r="I1414" s="11"/>
      <c r="J1414" s="11"/>
    </row>
    <row r="1415" spans="1:10" ht="15.75" x14ac:dyDescent="0.3">
      <c r="A1415" s="13" t="str">
        <f>HYPERLINK("https://parts-sales.ru/parts/MAN/51032030301","51.03203-0301")</f>
        <v>51.03203-0301</v>
      </c>
      <c r="B1415" s="13" t="str">
        <f>HYPERLINK("https://parts-sales.ru/parts/MAN/51032030301","Кольцо седла клапана")</f>
        <v>Кольцо седла клапана</v>
      </c>
      <c r="C1415" s="5" t="s">
        <v>17</v>
      </c>
      <c r="D1415" s="6">
        <v>5910</v>
      </c>
      <c r="E1415" s="6">
        <v>2237</v>
      </c>
      <c r="F1415" s="9">
        <v>0.62</v>
      </c>
      <c r="H1415" s="11"/>
      <c r="I1415" s="11"/>
      <c r="J1415" s="11"/>
    </row>
    <row r="1416" spans="1:10" ht="15.75" x14ac:dyDescent="0.3">
      <c r="A1416" s="12" t="str">
        <f>HYPERLINK("https://parts-sales.ru/parts/MAN/51032030371","51.03203-0371")</f>
        <v>51.03203-0371</v>
      </c>
      <c r="B1416" s="12" t="str">
        <f>HYPERLINK("https://parts-sales.ru/parts/MAN/51032030371","Кольцо седла клапана Впуск")</f>
        <v>Кольцо седла клапана Впуск</v>
      </c>
      <c r="C1416" s="3" t="s">
        <v>17</v>
      </c>
      <c r="D1416" s="4">
        <v>2030.4</v>
      </c>
      <c r="E1416" s="4">
        <v>828</v>
      </c>
      <c r="F1416" s="8">
        <v>0.59</v>
      </c>
      <c r="H1416" s="11"/>
      <c r="I1416" s="11"/>
      <c r="J1416" s="11"/>
    </row>
    <row r="1417" spans="1:10" ht="15.75" x14ac:dyDescent="0.3">
      <c r="A1417" s="13" t="str">
        <f>HYPERLINK("https://parts-sales.ru/parts/MAN/51032030372","51.03203-0372")</f>
        <v>51.03203-0372</v>
      </c>
      <c r="B1417" s="13" t="str">
        <f>HYPERLINK("https://parts-sales.ru/parts/MAN/51032030372","Кольцо седла клапана Выпуск")</f>
        <v>Кольцо седла клапана Выпуск</v>
      </c>
      <c r="C1417" s="5" t="s">
        <v>17</v>
      </c>
      <c r="D1417" s="6">
        <v>1479.6</v>
      </c>
      <c r="E1417" s="6">
        <v>603</v>
      </c>
      <c r="F1417" s="9">
        <v>0.59</v>
      </c>
      <c r="H1417" s="11"/>
      <c r="I1417" s="11"/>
      <c r="J1417" s="11"/>
    </row>
    <row r="1418" spans="1:10" ht="15.75" x14ac:dyDescent="0.3">
      <c r="A1418" s="12" t="str">
        <f>HYPERLINK("https://parts-sales.ru/parts/MAN/51034010162","51.03401-0162")</f>
        <v>51.03401-0162</v>
      </c>
      <c r="B1418" s="12" t="str">
        <f>HYPERLINK("https://parts-sales.ru/parts/MAN/51034010162","Колпак головки цилиндра с")</f>
        <v>Колпак головки цилиндра с</v>
      </c>
      <c r="C1418" s="3" t="s">
        <v>17</v>
      </c>
      <c r="D1418" s="4">
        <v>10763.86</v>
      </c>
      <c r="E1418" s="4">
        <v>4496</v>
      </c>
      <c r="F1418" s="8">
        <v>0.57999999999999996</v>
      </c>
      <c r="H1418" s="11"/>
      <c r="I1418" s="11"/>
      <c r="J1418" s="11"/>
    </row>
    <row r="1419" spans="1:10" ht="15.75" x14ac:dyDescent="0.3">
      <c r="A1419" s="13" t="str">
        <f>HYPERLINK("https://parts-sales.ru/parts/MAN/51034010164","51.03401-0164")</f>
        <v>51.03401-0164</v>
      </c>
      <c r="B1419" s="13" t="str">
        <f>HYPERLINK("https://parts-sales.ru/parts/MAN/51034010164","Колпак головки цилиндра MAN")</f>
        <v>Колпак головки цилиндра MAN</v>
      </c>
      <c r="C1419" s="5" t="s">
        <v>17</v>
      </c>
      <c r="D1419" s="6">
        <v>10651.2</v>
      </c>
      <c r="E1419" s="6">
        <v>4338</v>
      </c>
      <c r="F1419" s="9">
        <v>0.59</v>
      </c>
      <c r="H1419" s="11"/>
      <c r="I1419" s="11"/>
      <c r="J1419" s="11"/>
    </row>
    <row r="1420" spans="1:10" ht="15.75" x14ac:dyDescent="0.3">
      <c r="A1420" s="12" t="str">
        <f>HYPERLINK("https://parts-sales.ru/parts/MAN/51034016008","51.03401-6008")</f>
        <v>51.03401-6008</v>
      </c>
      <c r="B1420" s="12" t="str">
        <f>HYPERLINK("https://parts-sales.ru/parts/MAN/51034016008","Колпак головки цилиндра Стандарт")</f>
        <v>Колпак головки цилиндра Стандарт</v>
      </c>
      <c r="C1420" s="3" t="s">
        <v>17</v>
      </c>
      <c r="D1420" s="4">
        <v>14097.6</v>
      </c>
      <c r="E1420" s="4">
        <v>5024</v>
      </c>
      <c r="F1420" s="8">
        <v>0.64</v>
      </c>
      <c r="H1420" s="11"/>
      <c r="I1420" s="11"/>
      <c r="J1420" s="11"/>
    </row>
    <row r="1421" spans="1:10" ht="15.75" x14ac:dyDescent="0.3">
      <c r="A1421" s="13" t="str">
        <f>HYPERLINK("https://parts-sales.ru/parts/MAN/51039010403","51.03901-0403")</f>
        <v>51.03901-0403</v>
      </c>
      <c r="B1421" s="13" t="str">
        <f>HYPERLINK("https://parts-sales.ru/parts/MAN/51039010403","Уплотнение головки цилиндра")</f>
        <v>Уплотнение головки цилиндра</v>
      </c>
      <c r="C1421" s="5" t="s">
        <v>17</v>
      </c>
      <c r="D1421" s="6">
        <v>26600.06</v>
      </c>
      <c r="E1421" s="6">
        <v>17791</v>
      </c>
      <c r="F1421" s="9">
        <v>0.33</v>
      </c>
      <c r="H1421" s="11"/>
      <c r="I1421" s="11"/>
      <c r="J1421" s="11"/>
    </row>
    <row r="1422" spans="1:10" ht="15.75" x14ac:dyDescent="0.3">
      <c r="A1422" s="12" t="str">
        <f>HYPERLINK("https://parts-sales.ru/parts/MAN/51039050155","51.03905-0155")</f>
        <v>51.03905-0155</v>
      </c>
      <c r="B1422" s="12" t="str">
        <f>HYPERLINK("https://parts-sales.ru/parts/MAN/51039050155","Упл. крышки головки цилиндра")</f>
        <v>Упл. крышки головки цилиндра</v>
      </c>
      <c r="C1422" s="3" t="s">
        <v>17</v>
      </c>
      <c r="D1422" s="4">
        <v>4016.4</v>
      </c>
      <c r="E1422" s="4">
        <v>372</v>
      </c>
      <c r="F1422" s="8">
        <v>0.91</v>
      </c>
      <c r="H1422" s="11"/>
      <c r="I1422" s="11"/>
      <c r="J1422" s="11"/>
    </row>
    <row r="1423" spans="1:10" ht="15.75" x14ac:dyDescent="0.3">
      <c r="A1423" s="13" t="str">
        <f>HYPERLINK("https://parts-sales.ru/parts/MAN/51039050167","51.03905-0167")</f>
        <v>51.03905-0167</v>
      </c>
      <c r="B1423" s="13" t="str">
        <f>HYPERLINK("https://parts-sales.ru/parts/MAN/51039050167","Упл. крышки головки цилиндра")</f>
        <v>Упл. крышки головки цилиндра</v>
      </c>
      <c r="C1423" s="5" t="s">
        <v>17</v>
      </c>
      <c r="D1423" s="6">
        <v>9385.2000000000007</v>
      </c>
      <c r="E1423" s="6">
        <v>3058</v>
      </c>
      <c r="F1423" s="9">
        <v>0.67</v>
      </c>
      <c r="H1423" s="11"/>
      <c r="I1423" s="11"/>
      <c r="J1423" s="11"/>
    </row>
    <row r="1424" spans="1:10" ht="15.75" x14ac:dyDescent="0.3">
      <c r="A1424" s="12" t="str">
        <f>HYPERLINK("https://parts-sales.ru/parts/MAN/51039050190","51.03905-0190")</f>
        <v>51.03905-0190</v>
      </c>
      <c r="B1424" s="12" t="str">
        <f>HYPERLINK("https://parts-sales.ru/parts/MAN/51039050190","Упл. крышки головки цилиндра")</f>
        <v>Упл. крышки головки цилиндра</v>
      </c>
      <c r="C1424" s="3" t="s">
        <v>17</v>
      </c>
      <c r="D1424" s="4">
        <v>5654.4</v>
      </c>
      <c r="E1424" s="4">
        <v>2574</v>
      </c>
      <c r="F1424" s="8">
        <v>0.54</v>
      </c>
      <c r="H1424" s="11"/>
      <c r="I1424" s="11"/>
      <c r="J1424" s="11"/>
    </row>
    <row r="1425" spans="1:10" ht="15.75" x14ac:dyDescent="0.3">
      <c r="A1425" s="13" t="str">
        <f>HYPERLINK("https://parts-sales.ru/parts/MAN/51041010410","51.04101-0410")</f>
        <v>51.04101-0410</v>
      </c>
      <c r="B1425" s="13" t="str">
        <f>HYPERLINK("https://parts-sales.ru/parts/MAN/51041010410","Выпускной клапан")</f>
        <v>Выпускной клапан</v>
      </c>
      <c r="C1425" s="5" t="s">
        <v>17</v>
      </c>
      <c r="D1425" s="6">
        <v>3495.6</v>
      </c>
      <c r="E1425" s="6">
        <v>1945</v>
      </c>
      <c r="F1425" s="9">
        <v>0.44</v>
      </c>
      <c r="H1425" s="11"/>
      <c r="I1425" s="11"/>
      <c r="J1425" s="11"/>
    </row>
    <row r="1426" spans="1:10" ht="15.75" x14ac:dyDescent="0.3">
      <c r="A1426" s="12" t="str">
        <f>HYPERLINK("https://parts-sales.ru/parts/MAN/51041010523","51.04101-0523")</f>
        <v>51.04101-0523</v>
      </c>
      <c r="B1426" s="12" t="str">
        <f>HYPERLINK("https://parts-sales.ru/parts/MAN/51041010523","Впускной клапан 3-канавочный")</f>
        <v>Впускной клапан 3-канавочный</v>
      </c>
      <c r="C1426" s="3" t="s">
        <v>17</v>
      </c>
      <c r="D1426" s="4">
        <v>17883.599999999999</v>
      </c>
      <c r="E1426" s="4">
        <v>3733</v>
      </c>
      <c r="F1426" s="8">
        <v>0.79</v>
      </c>
      <c r="H1426" s="11"/>
      <c r="I1426" s="11"/>
      <c r="J1426" s="11"/>
    </row>
    <row r="1427" spans="1:10" ht="15.75" x14ac:dyDescent="0.3">
      <c r="A1427" s="13" t="str">
        <f>HYPERLINK("https://parts-sales.ru/parts/MAN/51041010524","51.04101-0524")</f>
        <v>51.04101-0524</v>
      </c>
      <c r="B1427" s="13" t="str">
        <f>HYPERLINK("https://parts-sales.ru/parts/MAN/51041010524","Выпускной клапан 3-канавочный")</f>
        <v>Выпускной клапан 3-канавочный</v>
      </c>
      <c r="C1427" s="5" t="s">
        <v>17</v>
      </c>
      <c r="D1427" s="6">
        <v>7915.2</v>
      </c>
      <c r="E1427" s="6">
        <v>3224</v>
      </c>
      <c r="F1427" s="9">
        <v>0.59</v>
      </c>
      <c r="H1427" s="11"/>
      <c r="I1427" s="11"/>
      <c r="J1427" s="11"/>
    </row>
    <row r="1428" spans="1:10" ht="15.75" x14ac:dyDescent="0.3">
      <c r="A1428" s="12" t="str">
        <f>HYPERLINK("https://parts-sales.ru/parts/MAN/51041010547","51.04101-0547")</f>
        <v>51.04101-0547</v>
      </c>
      <c r="B1428" s="12" t="str">
        <f>HYPERLINK("https://parts-sales.ru/parts/MAN/51041010547","Впускной клапан 3-канавочный")</f>
        <v>Впускной клапан 3-канавочный</v>
      </c>
      <c r="C1428" s="3" t="s">
        <v>17</v>
      </c>
      <c r="D1428" s="4">
        <v>9054</v>
      </c>
      <c r="E1428" s="4">
        <v>5268</v>
      </c>
      <c r="F1428" s="8">
        <v>0.42</v>
      </c>
      <c r="H1428" s="11"/>
      <c r="I1428" s="11"/>
      <c r="J1428" s="11"/>
    </row>
    <row r="1429" spans="1:10" ht="15.75" x14ac:dyDescent="0.3">
      <c r="A1429" s="13" t="str">
        <f>HYPERLINK("https://parts-sales.ru/parts/MAN/51041010548","51.04101-0548")</f>
        <v>51.04101-0548</v>
      </c>
      <c r="B1429" s="13" t="str">
        <f>HYPERLINK("https://parts-sales.ru/parts/MAN/51041010548","Выпускной клапан 3-канавочный")</f>
        <v>Выпускной клапан 3-канавочный</v>
      </c>
      <c r="C1429" s="5" t="s">
        <v>17</v>
      </c>
      <c r="D1429" s="6">
        <v>7549.2</v>
      </c>
      <c r="E1429" s="6">
        <v>3267</v>
      </c>
      <c r="F1429" s="9">
        <v>0.56999999999999995</v>
      </c>
      <c r="H1429" s="11"/>
      <c r="I1429" s="11"/>
      <c r="J1429" s="11"/>
    </row>
    <row r="1430" spans="1:10" ht="15.75" x14ac:dyDescent="0.3">
      <c r="A1430" s="12" t="str">
        <f>HYPERLINK("https://parts-sales.ru/parts/MAN/51041010575","51.04101-0575")</f>
        <v>51.04101-0575</v>
      </c>
      <c r="B1430" s="12" t="str">
        <f>HYPERLINK("https://parts-sales.ru/parts/MAN/51041010575","Впускной клапан")</f>
        <v>Впускной клапан</v>
      </c>
      <c r="C1430" s="3" t="s">
        <v>17</v>
      </c>
      <c r="D1430" s="4">
        <v>13812</v>
      </c>
      <c r="E1430" s="4">
        <v>7695</v>
      </c>
      <c r="F1430" s="8">
        <v>0.44</v>
      </c>
      <c r="H1430" s="11"/>
      <c r="I1430" s="11"/>
      <c r="J1430" s="11"/>
    </row>
    <row r="1431" spans="1:10" ht="15.75" x14ac:dyDescent="0.3">
      <c r="A1431" s="13" t="str">
        <f>HYPERLINK("https://parts-sales.ru/parts/MAN/51041040024","51.04104-0024")</f>
        <v>51.04104-0024</v>
      </c>
      <c r="B1431" s="13" t="str">
        <f>HYPERLINK("https://parts-sales.ru/parts/MAN/51041040024","Сухарь клапана")</f>
        <v>Сухарь клапана</v>
      </c>
      <c r="C1431" s="5" t="s">
        <v>17</v>
      </c>
      <c r="D1431" s="6">
        <v>385.2</v>
      </c>
      <c r="E1431" s="6">
        <v>89</v>
      </c>
      <c r="F1431" s="9">
        <v>0.77</v>
      </c>
      <c r="H1431" s="11"/>
      <c r="I1431" s="11"/>
      <c r="J1431" s="11"/>
    </row>
    <row r="1432" spans="1:10" ht="15.75" x14ac:dyDescent="0.3">
      <c r="A1432" s="12" t="str">
        <f>HYPERLINK("https://parts-sales.ru/parts/MAN/51042006023","51.04200-6023")</f>
        <v>51.04200-6023</v>
      </c>
      <c r="B1432" s="12" t="str">
        <f>HYPERLINK("https://parts-sales.ru/parts/MAN/51042006023","Перекидной рычаг Выпуск")</f>
        <v>Перекидной рычаг Выпуск</v>
      </c>
      <c r="C1432" s="3" t="s">
        <v>17</v>
      </c>
      <c r="D1432" s="4">
        <v>8324.4</v>
      </c>
      <c r="E1432" s="4">
        <v>1501</v>
      </c>
      <c r="F1432" s="8">
        <v>0.82</v>
      </c>
      <c r="H1432" s="11"/>
      <c r="I1432" s="11"/>
      <c r="J1432" s="11"/>
    </row>
    <row r="1433" spans="1:10" ht="15.75" x14ac:dyDescent="0.3">
      <c r="A1433" s="13" t="str">
        <f>HYPERLINK("https://parts-sales.ru/parts/MAN/51042020086","51.04202-0086")</f>
        <v>51.04202-0086</v>
      </c>
      <c r="B1433" s="13" t="str">
        <f>HYPERLINK("https://parts-sales.ru/parts/MAN/51042020086","Стойка перекидного рычага")</f>
        <v>Стойка перекидного рычага</v>
      </c>
      <c r="C1433" s="5" t="s">
        <v>17</v>
      </c>
      <c r="D1433" s="6">
        <v>15978</v>
      </c>
      <c r="E1433" s="6">
        <v>5940</v>
      </c>
      <c r="F1433" s="9">
        <v>0.63</v>
      </c>
      <c r="H1433" s="11"/>
      <c r="I1433" s="11"/>
      <c r="J1433" s="11"/>
    </row>
    <row r="1434" spans="1:10" ht="15.75" x14ac:dyDescent="0.3">
      <c r="A1434" s="12" t="str">
        <f>HYPERLINK("https://parts-sales.ru/parts/MAN/51042030089","51.04203-0089")</f>
        <v>51.04203-0089</v>
      </c>
      <c r="B1434" s="12" t="str">
        <f>HYPERLINK("https://parts-sales.ru/parts/MAN/51042030089","Ось перекидного рычага Впуск")</f>
        <v>Ось перекидного рычага Впуск</v>
      </c>
      <c r="C1434" s="3" t="s">
        <v>17</v>
      </c>
      <c r="D1434" s="4">
        <v>8324.4</v>
      </c>
      <c r="E1434" s="4">
        <v>3740</v>
      </c>
      <c r="F1434" s="8">
        <v>0.55000000000000004</v>
      </c>
      <c r="H1434" s="11"/>
      <c r="I1434" s="11"/>
      <c r="J1434" s="11"/>
    </row>
    <row r="1435" spans="1:10" ht="15.75" x14ac:dyDescent="0.3">
      <c r="A1435" s="13" t="str">
        <f>HYPERLINK("https://parts-sales.ru/parts/MAN/51042030090","51.04203-0090")</f>
        <v>51.04203-0090</v>
      </c>
      <c r="B1435" s="13" t="str">
        <f>HYPERLINK("https://parts-sales.ru/parts/MAN/51042030090","Ось перекидного рычага Выпуск")</f>
        <v>Ось перекидного рычага Выпуск</v>
      </c>
      <c r="C1435" s="5" t="s">
        <v>17</v>
      </c>
      <c r="D1435" s="6">
        <v>8324.4</v>
      </c>
      <c r="E1435" s="6">
        <v>3106</v>
      </c>
      <c r="F1435" s="9">
        <v>0.63</v>
      </c>
      <c r="H1435" s="11"/>
      <c r="I1435" s="11"/>
      <c r="J1435" s="11"/>
    </row>
    <row r="1436" spans="1:10" ht="15.75" x14ac:dyDescent="0.3">
      <c r="A1436" s="12" t="str">
        <f>HYPERLINK("https://parts-sales.ru/parts/MAN/51042035064","51.04203-5064")</f>
        <v>51.04203-5064</v>
      </c>
      <c r="B1436" s="12" t="str">
        <f>HYPERLINK("https://parts-sales.ru/parts/MAN/51042035064","Ось перекидного рычага")</f>
        <v>Ось перекидного рычага</v>
      </c>
      <c r="C1436" s="3" t="s">
        <v>17</v>
      </c>
      <c r="D1436" s="4">
        <v>8895.6</v>
      </c>
      <c r="E1436" s="4">
        <v>1608</v>
      </c>
      <c r="F1436" s="8">
        <v>0.82</v>
      </c>
      <c r="H1436" s="11"/>
      <c r="I1436" s="11"/>
      <c r="J1436" s="11"/>
    </row>
    <row r="1437" spans="1:10" ht="15.75" x14ac:dyDescent="0.3">
      <c r="A1437" s="13" t="str">
        <f>HYPERLINK("https://parts-sales.ru/parts/MAN/51042050021","51.04205-0021")</f>
        <v>51.04205-0021</v>
      </c>
      <c r="B1437" s="13" t="str">
        <f>HYPERLINK("https://parts-sales.ru/parts/MAN/51042050021","Регулировочный винт M12X1X42,5SZ-A-CK45")</f>
        <v>Регулировочный винт M12X1X42,5SZ-A-CK45</v>
      </c>
      <c r="C1437" s="5" t="s">
        <v>17</v>
      </c>
      <c r="D1437" s="6">
        <v>2240.4</v>
      </c>
      <c r="E1437" s="6">
        <v>552</v>
      </c>
      <c r="F1437" s="9">
        <v>0.75</v>
      </c>
      <c r="H1437" s="11"/>
      <c r="I1437" s="11"/>
      <c r="J1437" s="11"/>
    </row>
    <row r="1438" spans="1:10" ht="15.75" x14ac:dyDescent="0.3">
      <c r="A1438" s="12" t="str">
        <f>HYPERLINK("https://parts-sales.ru/parts/MAN/51042050051","51.04205-0051")</f>
        <v>51.04205-0051</v>
      </c>
      <c r="B1438" s="12" t="str">
        <f>HYPERLINK("https://parts-sales.ru/parts/MAN/51042050051","Регулировочный винт M10X1X44")</f>
        <v>Регулировочный винт M10X1X44</v>
      </c>
      <c r="C1438" s="3" t="s">
        <v>17</v>
      </c>
      <c r="D1438" s="4">
        <v>943.2</v>
      </c>
      <c r="E1438" s="4">
        <v>260</v>
      </c>
      <c r="F1438" s="8">
        <v>0.72</v>
      </c>
      <c r="H1438" s="11"/>
      <c r="I1438" s="11"/>
      <c r="J1438" s="11"/>
    </row>
    <row r="1439" spans="1:10" ht="15.75" x14ac:dyDescent="0.3">
      <c r="A1439" s="13" t="str">
        <f>HYPERLINK("https://parts-sales.ru/parts/MAN/51043010065","51.04301-0065")</f>
        <v>51.04301-0065</v>
      </c>
      <c r="B1439" s="13" t="str">
        <f>HYPERLINK("https://parts-sales.ru/parts/MAN/51043010065","Толкатель клапана нормально")</f>
        <v>Толкатель клапана нормально</v>
      </c>
      <c r="C1439" s="5" t="s">
        <v>17</v>
      </c>
      <c r="D1439" s="6">
        <v>11582.4</v>
      </c>
      <c r="E1439" s="6">
        <v>2836</v>
      </c>
      <c r="F1439" s="9">
        <v>0.76</v>
      </c>
      <c r="H1439" s="11"/>
      <c r="I1439" s="11"/>
      <c r="J1439" s="11"/>
    </row>
    <row r="1440" spans="1:10" ht="15.75" x14ac:dyDescent="0.3">
      <c r="A1440" s="12" t="str">
        <f>HYPERLINK("https://parts-sales.ru/parts/MAN/51043010066","51.04301-0066")</f>
        <v>51.04301-0066</v>
      </c>
      <c r="B1440" s="12" t="str">
        <f>HYPERLINK("https://parts-sales.ru/parts/MAN/51043010066","Толкатель клапана нормаль 1")</f>
        <v>Толкатель клапана нормаль 1</v>
      </c>
      <c r="C1440" s="3" t="s">
        <v>17</v>
      </c>
      <c r="D1440" s="4">
        <v>13413.6</v>
      </c>
      <c r="E1440" s="4">
        <v>2763</v>
      </c>
      <c r="F1440" s="8">
        <v>0.79</v>
      </c>
      <c r="H1440" s="11"/>
      <c r="I1440" s="11"/>
      <c r="J1440" s="11"/>
    </row>
    <row r="1441" spans="1:10" ht="15.75" x14ac:dyDescent="0.3">
      <c r="A1441" s="13" t="str">
        <f>HYPERLINK("https://parts-sales.ru/parts/MAN/51043020062","51.04302-0062")</f>
        <v>51.04302-0062</v>
      </c>
      <c r="B1441" s="13" t="str">
        <f>HYPERLINK("https://parts-sales.ru/parts/MAN/51043020062","Штанга толкателя")</f>
        <v>Штанга толкателя</v>
      </c>
      <c r="C1441" s="5" t="s">
        <v>17</v>
      </c>
      <c r="D1441" s="6">
        <v>15448.8</v>
      </c>
      <c r="E1441" s="6">
        <v>3262</v>
      </c>
      <c r="F1441" s="9">
        <v>0.79</v>
      </c>
      <c r="H1441" s="11"/>
      <c r="I1441" s="11"/>
      <c r="J1441" s="11"/>
    </row>
    <row r="1442" spans="1:10" ht="15.75" x14ac:dyDescent="0.3">
      <c r="A1442" s="12" t="str">
        <f>HYPERLINK("https://parts-sales.ru/parts/MAN/51044100139","51.04410-0139")</f>
        <v>51.04410-0139</v>
      </c>
      <c r="B1442" s="12" t="str">
        <f>HYPERLINK("https://parts-sales.ru/parts/MAN/51044100139","Втулка распредвала 1")</f>
        <v>Втулка распредвала 1</v>
      </c>
      <c r="C1442" s="3" t="s">
        <v>17</v>
      </c>
      <c r="D1442" s="4">
        <v>15978</v>
      </c>
      <c r="E1442" s="4">
        <v>3699</v>
      </c>
      <c r="F1442" s="8">
        <v>0.77</v>
      </c>
      <c r="H1442" s="11"/>
      <c r="I1442" s="11"/>
      <c r="J1442" s="11"/>
    </row>
    <row r="1443" spans="1:10" ht="15.75" x14ac:dyDescent="0.3">
      <c r="A1443" s="13" t="str">
        <f>HYPERLINK("https://parts-sales.ru/parts/MAN/51044100148","51.04410-0148")</f>
        <v>51.04410-0148</v>
      </c>
      <c r="B1443" s="13" t="str">
        <f>HYPERLINK("https://parts-sales.ru/parts/MAN/51044100148","Втулка распредвала")</f>
        <v>Втулка распредвала</v>
      </c>
      <c r="C1443" s="5" t="s">
        <v>17</v>
      </c>
      <c r="D1443" s="6">
        <v>14983.2</v>
      </c>
      <c r="E1443" s="6">
        <v>5257</v>
      </c>
      <c r="F1443" s="9">
        <v>0.65</v>
      </c>
      <c r="H1443" s="11"/>
      <c r="I1443" s="11"/>
      <c r="J1443" s="11"/>
    </row>
    <row r="1444" spans="1:10" ht="15.75" x14ac:dyDescent="0.3">
      <c r="A1444" s="12" t="str">
        <f>HYPERLINK("https://parts-sales.ru/parts/MAN/51045055119","51.04505-5119")</f>
        <v>51.04505-5119</v>
      </c>
      <c r="B1444" s="12" t="str">
        <f>HYPERLINK("https://parts-sales.ru/parts/MAN/51045055119","Промежуточная шестерня")</f>
        <v>Промежуточная шестерня</v>
      </c>
      <c r="C1444" s="3" t="s">
        <v>17</v>
      </c>
      <c r="D1444" s="4">
        <v>35052</v>
      </c>
      <c r="E1444" s="4">
        <v>4395</v>
      </c>
      <c r="F1444" s="8">
        <v>0.87</v>
      </c>
      <c r="H1444" s="11"/>
      <c r="I1444" s="11"/>
      <c r="J1444" s="11"/>
    </row>
    <row r="1445" spans="1:10" ht="15.75" x14ac:dyDescent="0.3">
      <c r="A1445" s="13" t="str">
        <f>HYPERLINK("https://parts-sales.ru/parts/MAN/51049020029","51.04902-0029")</f>
        <v>51.04902-0029</v>
      </c>
      <c r="B1445" s="13" t="str">
        <f>HYPERLINK("https://parts-sales.ru/parts/MAN/51049020029","Установ. уплотнение клапана D02/D08")</f>
        <v>Установ. уплотнение клапана D02/D08</v>
      </c>
      <c r="C1445" s="5" t="s">
        <v>17</v>
      </c>
      <c r="D1445" s="6">
        <v>1381.2</v>
      </c>
      <c r="E1445" s="6">
        <v>176</v>
      </c>
      <c r="F1445" s="9">
        <v>0.87</v>
      </c>
      <c r="H1445" s="11"/>
      <c r="I1445" s="11"/>
      <c r="J1445" s="11"/>
    </row>
    <row r="1446" spans="1:10" ht="15.75" x14ac:dyDescent="0.3">
      <c r="A1446" s="12" t="str">
        <f>HYPERLINK("https://parts-sales.ru/parts/MAN/51049020034","51.04902-0034")</f>
        <v>51.04902-0034</v>
      </c>
      <c r="B1446" s="12" t="str">
        <f>HYPERLINK("https://parts-sales.ru/parts/MAN/51049020034","Установ. уплотнение клапана")</f>
        <v>Установ. уплотнение клапана</v>
      </c>
      <c r="C1446" s="3" t="s">
        <v>17</v>
      </c>
      <c r="D1446" s="4">
        <v>2089.1999999999998</v>
      </c>
      <c r="E1446" s="4">
        <v>613</v>
      </c>
      <c r="F1446" s="8">
        <v>0.71</v>
      </c>
      <c r="H1446" s="11"/>
      <c r="I1446" s="11"/>
      <c r="J1446" s="11"/>
    </row>
    <row r="1447" spans="1:10" ht="15.75" x14ac:dyDescent="0.3">
      <c r="A1447" s="13" t="str">
        <f>HYPERLINK("https://parts-sales.ru/parts/MAN/51051006226","51.05100-6226")</f>
        <v>51.05100-6226</v>
      </c>
      <c r="B1447" s="13" t="str">
        <f>HYPERLINK("https://parts-sales.ru/parts/MAN/51051006226","Масляный насос")</f>
        <v>Масляный насос</v>
      </c>
      <c r="C1447" s="5" t="s">
        <v>17</v>
      </c>
      <c r="D1447" s="6">
        <v>61699.42</v>
      </c>
      <c r="E1447" s="6">
        <v>25743</v>
      </c>
      <c r="F1447" s="9">
        <v>0.57999999999999996</v>
      </c>
      <c r="H1447" s="11"/>
      <c r="I1447" s="11"/>
      <c r="J1447" s="11"/>
    </row>
    <row r="1448" spans="1:10" ht="15.75" x14ac:dyDescent="0.3">
      <c r="A1448" s="12" t="str">
        <f>HYPERLINK("https://parts-sales.ru/parts/MAN/51051006279","51.05100-6279")</f>
        <v>51.05100-6279</v>
      </c>
      <c r="B1448" s="12" t="str">
        <f>HYPERLINK("https://parts-sales.ru/parts/MAN/51051006279","Масляный насос")</f>
        <v>Масляный насос</v>
      </c>
      <c r="C1448" s="3" t="s">
        <v>17</v>
      </c>
      <c r="D1448" s="4">
        <v>133521.60000000001</v>
      </c>
      <c r="E1448" s="4">
        <v>52341</v>
      </c>
      <c r="F1448" s="8">
        <v>0.61</v>
      </c>
      <c r="H1448" s="11"/>
      <c r="I1448" s="11"/>
      <c r="J1448" s="11"/>
    </row>
    <row r="1449" spans="1:10" ht="15.75" x14ac:dyDescent="0.3">
      <c r="A1449" s="13" t="str">
        <f>HYPERLINK("https://parts-sales.ru/parts/MAN/51051020090","51.05102-0090")</f>
        <v>51.05102-0090</v>
      </c>
      <c r="B1449" s="13" t="str">
        <f>HYPERLINK("https://parts-sales.ru/parts/MAN/51051020090","Корпус масляного насоса")</f>
        <v>Корпус масляного насоса</v>
      </c>
      <c r="C1449" s="5" t="s">
        <v>17</v>
      </c>
      <c r="D1449" s="6">
        <v>28383.34</v>
      </c>
      <c r="E1449" s="6">
        <v>11855</v>
      </c>
      <c r="F1449" s="9">
        <v>0.57999999999999996</v>
      </c>
      <c r="H1449" s="11"/>
      <c r="I1449" s="11"/>
      <c r="J1449" s="11"/>
    </row>
    <row r="1450" spans="1:10" ht="15.75" x14ac:dyDescent="0.3">
      <c r="A1450" s="12" t="str">
        <f>HYPERLINK("https://parts-sales.ru/parts/MAN/51051046198","51.05104-6198")</f>
        <v>51.05104-6198</v>
      </c>
      <c r="B1450" s="12" t="str">
        <f>HYPERLINK("https://parts-sales.ru/parts/MAN/51051046198","Шестерня масляного насоса")</f>
        <v>Шестерня масляного насоса</v>
      </c>
      <c r="C1450" s="3" t="s">
        <v>17</v>
      </c>
      <c r="D1450" s="4">
        <v>10634.4</v>
      </c>
      <c r="E1450" s="4">
        <v>3061</v>
      </c>
      <c r="F1450" s="8">
        <v>0.71</v>
      </c>
      <c r="H1450" s="11"/>
      <c r="I1450" s="11"/>
      <c r="J1450" s="11"/>
    </row>
    <row r="1451" spans="1:10" ht="15.75" x14ac:dyDescent="0.3">
      <c r="A1451" s="13" t="str">
        <f>HYPERLINK("https://parts-sales.ru/parts/MAN/51056017182","51.05601-7182")</f>
        <v>51.05601-7182</v>
      </c>
      <c r="B1451" s="13" t="str">
        <f>HYPERLINK("https://parts-sales.ru/parts/MAN/51056017182","Масляный радиатор")</f>
        <v>Масляный радиатор</v>
      </c>
      <c r="C1451" s="5" t="s">
        <v>17</v>
      </c>
      <c r="D1451" s="6">
        <v>95331.199999999997</v>
      </c>
      <c r="E1451" s="6">
        <v>39713</v>
      </c>
      <c r="F1451" s="9">
        <v>0.57999999999999996</v>
      </c>
      <c r="H1451" s="11"/>
      <c r="I1451" s="11"/>
      <c r="J1451" s="11"/>
    </row>
    <row r="1452" spans="1:10" ht="15.75" x14ac:dyDescent="0.3">
      <c r="A1452" s="12" t="str">
        <f>HYPERLINK("https://parts-sales.ru/parts/MAN/51057035394","51.05703-5394")</f>
        <v>51.05703-5394</v>
      </c>
      <c r="B1452" s="12" t="str">
        <f>HYPERLINK("https://parts-sales.ru/parts/MAN/51057035394","Обратный маслопровод")</f>
        <v>Обратный маслопровод</v>
      </c>
      <c r="C1452" s="3" t="s">
        <v>17</v>
      </c>
      <c r="D1452" s="4">
        <v>103208.4</v>
      </c>
      <c r="E1452" s="4">
        <v>22720</v>
      </c>
      <c r="F1452" s="8">
        <v>0.78</v>
      </c>
      <c r="H1452" s="11"/>
      <c r="I1452" s="11"/>
      <c r="J1452" s="11"/>
    </row>
    <row r="1453" spans="1:10" ht="15.75" x14ac:dyDescent="0.3">
      <c r="A1453" s="13" t="str">
        <f>HYPERLINK("https://parts-sales.ru/parts/MAN/51057045413","51.05704-5413")</f>
        <v>51.05704-5413</v>
      </c>
      <c r="B1453" s="13" t="str">
        <f>HYPERLINK("https://parts-sales.ru/parts/MAN/51057045413","Подводящий маслопровод")</f>
        <v>Подводящий маслопровод</v>
      </c>
      <c r="C1453" s="5" t="s">
        <v>17</v>
      </c>
      <c r="D1453" s="6">
        <v>14186.4</v>
      </c>
      <c r="E1453" s="6">
        <v>5218</v>
      </c>
      <c r="F1453" s="9">
        <v>0.63</v>
      </c>
      <c r="H1453" s="11"/>
      <c r="I1453" s="11"/>
      <c r="J1453" s="11"/>
    </row>
    <row r="1454" spans="1:10" ht="15.75" x14ac:dyDescent="0.3">
      <c r="A1454" s="12" t="str">
        <f>HYPERLINK("https://parts-sales.ru/parts/MAN/51057405018","51.05740-5018")</f>
        <v>51.05740-5018</v>
      </c>
      <c r="B1454" s="12" t="str">
        <f>HYPERLINK("https://parts-sales.ru/parts/MAN/51057405018","Держатель")</f>
        <v>Держатель</v>
      </c>
      <c r="C1454" s="3" t="s">
        <v>17</v>
      </c>
      <c r="D1454" s="4">
        <v>3603.6</v>
      </c>
      <c r="E1454" s="4">
        <v>970</v>
      </c>
      <c r="F1454" s="8">
        <v>0.73</v>
      </c>
      <c r="H1454" s="11"/>
      <c r="I1454" s="11"/>
      <c r="J1454" s="11"/>
    </row>
    <row r="1455" spans="1:10" ht="15.75" x14ac:dyDescent="0.3">
      <c r="A1455" s="13" t="str">
        <f>HYPERLINK("https://parts-sales.ru/parts/MAN/51058006406","51.05800-6406")</f>
        <v>51.05800-6406</v>
      </c>
      <c r="B1455" s="13" t="str">
        <f>HYPERLINK("https://parts-sales.ru/parts/MAN/51058006406","Масляная ванна")</f>
        <v>Масляная ванна</v>
      </c>
      <c r="C1455" s="5" t="s">
        <v>17</v>
      </c>
      <c r="D1455" s="6">
        <v>61784.4</v>
      </c>
      <c r="E1455" s="6">
        <v>22018</v>
      </c>
      <c r="F1455" s="9">
        <v>0.64</v>
      </c>
      <c r="H1455" s="11"/>
      <c r="I1455" s="11"/>
      <c r="J1455" s="11"/>
    </row>
    <row r="1456" spans="1:10" ht="15.75" x14ac:dyDescent="0.3">
      <c r="A1456" s="12" t="str">
        <f>HYPERLINK("https://parts-sales.ru/parts/MAN/51058055355","51.05805-5355")</f>
        <v>51.05805-5355</v>
      </c>
      <c r="B1456" s="12" t="str">
        <f>HYPERLINK("https://parts-sales.ru/parts/MAN/51058055355","Масломерный щуп")</f>
        <v>Масломерный щуп</v>
      </c>
      <c r="C1456" s="3" t="s">
        <v>17</v>
      </c>
      <c r="D1456" s="4">
        <v>2085.6</v>
      </c>
      <c r="E1456" s="4">
        <v>513</v>
      </c>
      <c r="F1456" s="8">
        <v>0.75</v>
      </c>
      <c r="H1456" s="11"/>
      <c r="I1456" s="11"/>
      <c r="J1456" s="11"/>
    </row>
    <row r="1457" spans="1:10" ht="15.75" x14ac:dyDescent="0.3">
      <c r="A1457" s="13" t="str">
        <f>HYPERLINK("https://parts-sales.ru/parts/MAN/51058055444","51.05805-5444")</f>
        <v>51.05805-5444</v>
      </c>
      <c r="B1457" s="13" t="str">
        <f>HYPERLINK("https://parts-sales.ru/parts/MAN/51058055444","Масломерный щуп")</f>
        <v>Масломерный щуп</v>
      </c>
      <c r="C1457" s="5" t="s">
        <v>17</v>
      </c>
      <c r="D1457" s="6">
        <v>2522.4</v>
      </c>
      <c r="E1457" s="6">
        <v>747</v>
      </c>
      <c r="F1457" s="9">
        <v>0.7</v>
      </c>
      <c r="H1457" s="11"/>
      <c r="I1457" s="11"/>
      <c r="J1457" s="11"/>
    </row>
    <row r="1458" spans="1:10" ht="15.75" x14ac:dyDescent="0.3">
      <c r="A1458" s="12" t="str">
        <f>HYPERLINK("https://parts-sales.ru/parts/MAN/51058055628","51.05805-5628")</f>
        <v>51.05805-5628</v>
      </c>
      <c r="B1458" s="12" t="str">
        <f>HYPERLINK("https://parts-sales.ru/parts/MAN/51058055628","Масломерный щуп")</f>
        <v>Масломерный щуп</v>
      </c>
      <c r="C1458" s="3" t="s">
        <v>17</v>
      </c>
      <c r="D1458" s="4">
        <v>3889.2</v>
      </c>
      <c r="E1458" s="4">
        <v>435</v>
      </c>
      <c r="F1458" s="8">
        <v>0.89</v>
      </c>
      <c r="H1458" s="11"/>
      <c r="I1458" s="11"/>
      <c r="J1458" s="11"/>
    </row>
    <row r="1459" spans="1:10" ht="15.75" x14ac:dyDescent="0.3">
      <c r="A1459" s="13" t="str">
        <f>HYPERLINK("https://parts-sales.ru/parts/MAN/51058055743","51.05805-5743")</f>
        <v>51.05805-5743</v>
      </c>
      <c r="B1459" s="13" t="str">
        <f>HYPERLINK("https://parts-sales.ru/parts/MAN/51058055743","Масломерный щуп")</f>
        <v>Масломерный щуп</v>
      </c>
      <c r="C1459" s="5" t="s">
        <v>17</v>
      </c>
      <c r="D1459" s="6">
        <v>3212.4</v>
      </c>
      <c r="E1459" s="6">
        <v>1179</v>
      </c>
      <c r="F1459" s="9">
        <v>0.63</v>
      </c>
      <c r="H1459" s="11"/>
      <c r="I1459" s="11"/>
      <c r="J1459" s="11"/>
    </row>
    <row r="1460" spans="1:10" ht="15.75" x14ac:dyDescent="0.3">
      <c r="A1460" s="12" t="str">
        <f>HYPERLINK("https://parts-sales.ru/parts/MAN/51058055744","51.05805-5744")</f>
        <v>51.05805-5744</v>
      </c>
      <c r="B1460" s="12" t="str">
        <f>HYPERLINK("https://parts-sales.ru/parts/MAN/51058055744","Масломерный щуп")</f>
        <v>Масломерный щуп</v>
      </c>
      <c r="C1460" s="3" t="s">
        <v>17</v>
      </c>
      <c r="D1460" s="4">
        <v>2178</v>
      </c>
      <c r="E1460" s="4">
        <v>513</v>
      </c>
      <c r="F1460" s="8">
        <v>0.76</v>
      </c>
      <c r="H1460" s="11"/>
      <c r="I1460" s="11"/>
      <c r="J1460" s="11"/>
    </row>
    <row r="1461" spans="1:10" ht="15.75" x14ac:dyDescent="0.3">
      <c r="A1461" s="13" t="str">
        <f>HYPERLINK("https://parts-sales.ru/parts/MAN/51058055856","51.05805-5856")</f>
        <v>51.05805-5856</v>
      </c>
      <c r="B1461" s="13" t="str">
        <f>HYPERLINK("https://parts-sales.ru/parts/MAN/51058055856","Масломерный щуп")</f>
        <v>Масломерный щуп</v>
      </c>
      <c r="C1461" s="5" t="s">
        <v>17</v>
      </c>
      <c r="D1461" s="6">
        <v>2522.4</v>
      </c>
      <c r="E1461" s="6">
        <v>587</v>
      </c>
      <c r="F1461" s="9">
        <v>0.77</v>
      </c>
      <c r="H1461" s="11"/>
      <c r="I1461" s="11"/>
      <c r="J1461" s="11"/>
    </row>
    <row r="1462" spans="1:10" ht="15.75" x14ac:dyDescent="0.3">
      <c r="A1462" s="12" t="str">
        <f>HYPERLINK("https://parts-sales.ru/parts/MAN/51058055863","51.05805-5863")</f>
        <v>51.05805-5863</v>
      </c>
      <c r="B1462" s="12" t="str">
        <f>HYPERLINK("https://parts-sales.ru/parts/MAN/51058055863","Масломерный щуп")</f>
        <v>Масломерный щуп</v>
      </c>
      <c r="C1462" s="3" t="s">
        <v>17</v>
      </c>
      <c r="D1462" s="4">
        <v>5120.3999999999996</v>
      </c>
      <c r="E1462" s="4">
        <v>1371</v>
      </c>
      <c r="F1462" s="8">
        <v>0.73</v>
      </c>
      <c r="H1462" s="11"/>
      <c r="I1462" s="11"/>
      <c r="J1462" s="11"/>
    </row>
    <row r="1463" spans="1:10" ht="15.75" x14ac:dyDescent="0.3">
      <c r="A1463" s="13" t="str">
        <f>HYPERLINK("https://parts-sales.ru/parts/MAN/51058055878","51.05805-5878")</f>
        <v>51.05805-5878</v>
      </c>
      <c r="B1463" s="13" t="str">
        <f>HYPERLINK("https://parts-sales.ru/parts/MAN/51058055878","Масломерный щуп")</f>
        <v>Масломерный щуп</v>
      </c>
      <c r="C1463" s="5" t="s">
        <v>17</v>
      </c>
      <c r="D1463" s="6">
        <v>2178</v>
      </c>
      <c r="E1463" s="6">
        <v>827</v>
      </c>
      <c r="F1463" s="9">
        <v>0.62</v>
      </c>
      <c r="H1463" s="11"/>
      <c r="I1463" s="11"/>
      <c r="J1463" s="11"/>
    </row>
    <row r="1464" spans="1:10" ht="15.75" x14ac:dyDescent="0.3">
      <c r="A1464" s="12" t="str">
        <f>HYPERLINK("https://parts-sales.ru/parts/MAN/51058230008","51.05823-0008")</f>
        <v>51.05823-0008</v>
      </c>
      <c r="B1464" s="12" t="str">
        <f>HYPERLINK("https://parts-sales.ru/parts/MAN/51058230008","Уплотнительный профиль")</f>
        <v>Уплотнительный профиль</v>
      </c>
      <c r="C1464" s="3" t="s">
        <v>17</v>
      </c>
      <c r="D1464" s="4">
        <v>7503.6</v>
      </c>
      <c r="E1464" s="4">
        <v>1184</v>
      </c>
      <c r="F1464" s="8">
        <v>0.84</v>
      </c>
      <c r="H1464" s="11"/>
      <c r="I1464" s="11"/>
      <c r="J1464" s="11"/>
    </row>
    <row r="1465" spans="1:10" ht="15.75" x14ac:dyDescent="0.3">
      <c r="A1465" s="13" t="str">
        <f>HYPERLINK("https://parts-sales.ru/parts/MAN/51058230015","51.05823-0015")</f>
        <v>51.05823-0015</v>
      </c>
      <c r="B1465" s="13" t="str">
        <f>HYPERLINK("https://parts-sales.ru/parts/MAN/51058230015","Резиновый буфер")</f>
        <v>Резиновый буфер</v>
      </c>
      <c r="C1465" s="5" t="s">
        <v>17</v>
      </c>
      <c r="D1465" s="6">
        <v>1664.4</v>
      </c>
      <c r="E1465" s="6">
        <v>478</v>
      </c>
      <c r="F1465" s="9">
        <v>0.71</v>
      </c>
      <c r="H1465" s="11"/>
      <c r="I1465" s="11"/>
      <c r="J1465" s="11"/>
    </row>
    <row r="1466" spans="1:10" ht="15.75" x14ac:dyDescent="0.3">
      <c r="A1466" s="12" t="str">
        <f>HYPERLINK("https://parts-sales.ru/parts/MAN/51059040139","51.05904-0139")</f>
        <v>51.05904-0139</v>
      </c>
      <c r="B1466" s="12" t="str">
        <f>HYPERLINK("https://parts-sales.ru/parts/MAN/51059040139","Уплотнение поддона картера без асбеста")</f>
        <v>Уплотнение поддона картера без асбеста</v>
      </c>
      <c r="C1466" s="3" t="s">
        <v>17</v>
      </c>
      <c r="D1466" s="4">
        <v>18060</v>
      </c>
      <c r="E1466" s="4">
        <v>5826</v>
      </c>
      <c r="F1466" s="8">
        <v>0.68</v>
      </c>
      <c r="H1466" s="11"/>
      <c r="I1466" s="11"/>
      <c r="J1466" s="11"/>
    </row>
    <row r="1467" spans="1:10" ht="15.75" x14ac:dyDescent="0.3">
      <c r="A1467" s="13" t="str">
        <f>HYPERLINK("https://parts-sales.ru/parts/MAN/51059040195","51.05904-0195")</f>
        <v>51.05904-0195</v>
      </c>
      <c r="B1467" s="13" t="str">
        <f>HYPERLINK("https://parts-sales.ru/parts/MAN/51059040195","Уплотнение поддона картера")</f>
        <v>Уплотнение поддона картера</v>
      </c>
      <c r="C1467" s="5" t="s">
        <v>17</v>
      </c>
      <c r="D1467" s="6">
        <v>20718</v>
      </c>
      <c r="E1467" s="6">
        <v>5437</v>
      </c>
      <c r="F1467" s="9">
        <v>0.74</v>
      </c>
      <c r="H1467" s="11"/>
      <c r="I1467" s="11"/>
      <c r="J1467" s="11"/>
    </row>
    <row r="1468" spans="1:10" ht="15.75" x14ac:dyDescent="0.3">
      <c r="A1468" s="12" t="str">
        <f>HYPERLINK("https://parts-sales.ru/parts/MAN/51059040197","51.05904-0197")</f>
        <v>51.05904-0197</v>
      </c>
      <c r="B1468" s="12" t="str">
        <f>HYPERLINK("https://parts-sales.ru/parts/MAN/51059040197","Уплотнение поддона картера")</f>
        <v>Уплотнение поддона картера</v>
      </c>
      <c r="C1468" s="3" t="s">
        <v>17</v>
      </c>
      <c r="D1468" s="4">
        <v>17574</v>
      </c>
      <c r="E1468" s="4">
        <v>3383</v>
      </c>
      <c r="F1468" s="8">
        <v>0.81</v>
      </c>
      <c r="H1468" s="11"/>
      <c r="I1468" s="11"/>
      <c r="J1468" s="11"/>
    </row>
    <row r="1469" spans="1:10" ht="15.75" x14ac:dyDescent="0.3">
      <c r="A1469" s="13" t="str">
        <f>HYPERLINK("https://parts-sales.ru/parts/MAN/51063020408","51.06302-0408")</f>
        <v>51.06302-0408</v>
      </c>
      <c r="B1469" s="13" t="str">
        <f>HYPERLINK("https://parts-sales.ru/parts/MAN/51063020408","Соединительный штуцер Уплотнение")</f>
        <v>Соединительный штуцер Уплотнение</v>
      </c>
      <c r="C1469" s="5" t="s">
        <v>17</v>
      </c>
      <c r="D1469" s="6">
        <v>9470.4</v>
      </c>
      <c r="E1469" s="6">
        <v>2104</v>
      </c>
      <c r="F1469" s="9">
        <v>0.78</v>
      </c>
      <c r="H1469" s="11"/>
      <c r="I1469" s="11"/>
      <c r="J1469" s="11"/>
    </row>
    <row r="1470" spans="1:10" ht="15.75" x14ac:dyDescent="0.3">
      <c r="A1470" s="12" t="str">
        <f>HYPERLINK("https://parts-sales.ru/parts/MAN/51063020759","51.06302-0759")</f>
        <v>51.06302-0759</v>
      </c>
      <c r="B1470" s="12" t="str">
        <f>HYPERLINK("https://parts-sales.ru/parts/MAN/51063020759","Отвод охлаждающей жидкости")</f>
        <v>Отвод охлаждающей жидкости</v>
      </c>
      <c r="C1470" s="3" t="s">
        <v>17</v>
      </c>
      <c r="D1470" s="4">
        <v>119137.2</v>
      </c>
      <c r="E1470" s="4">
        <v>35195</v>
      </c>
      <c r="F1470" s="8">
        <v>0.7</v>
      </c>
      <c r="H1470" s="11"/>
      <c r="I1470" s="11"/>
      <c r="J1470" s="11"/>
    </row>
    <row r="1471" spans="1:10" ht="15.75" x14ac:dyDescent="0.3">
      <c r="A1471" s="13" t="str">
        <f>HYPERLINK("https://parts-sales.ru/parts/MAN/51063030214","51.06303-0214")</f>
        <v>51.06303-0214</v>
      </c>
      <c r="B1471" s="13" t="str">
        <f>HYPERLINK("https://parts-sales.ru/parts/MAN/51063030214","Отвод охлаждающей жидкости")</f>
        <v>Отвод охлаждающей жидкости</v>
      </c>
      <c r="C1471" s="5" t="s">
        <v>17</v>
      </c>
      <c r="D1471" s="6">
        <v>6375.6</v>
      </c>
      <c r="E1471" s="6">
        <v>1420</v>
      </c>
      <c r="F1471" s="9">
        <v>0.78</v>
      </c>
      <c r="H1471" s="11"/>
      <c r="I1471" s="11"/>
      <c r="J1471" s="11"/>
    </row>
    <row r="1472" spans="1:10" ht="15.75" x14ac:dyDescent="0.3">
      <c r="A1472" s="12" t="str">
        <f>HYPERLINK("https://parts-sales.ru/parts/MAN/51063045866","51.06304-5866")</f>
        <v>51.06304-5866</v>
      </c>
      <c r="B1472" s="12" t="str">
        <f>HYPERLINK("https://parts-sales.ru/parts/MAN/51063045866","Трубопровод охлажд.жидкости")</f>
        <v>Трубопровод охлажд.жидкости</v>
      </c>
      <c r="C1472" s="3" t="s">
        <v>17</v>
      </c>
      <c r="D1472" s="4">
        <v>23434.799999999999</v>
      </c>
      <c r="E1472" s="4">
        <v>5543</v>
      </c>
      <c r="F1472" s="8">
        <v>0.76</v>
      </c>
      <c r="H1472" s="11"/>
      <c r="I1472" s="11"/>
      <c r="J1472" s="11"/>
    </row>
    <row r="1473" spans="1:10" ht="15.75" x14ac:dyDescent="0.3">
      <c r="A1473" s="13" t="str">
        <f>HYPERLINK("https://parts-sales.ru/parts/MAN/51063045910","51.06304-5910")</f>
        <v>51.06304-5910</v>
      </c>
      <c r="B1473" s="13" t="str">
        <f>HYPERLINK("https://parts-sales.ru/parts/MAN/51063045910","Трубопровод охлажд.жидкости")</f>
        <v>Трубопровод охлажд.жидкости</v>
      </c>
      <c r="C1473" s="5" t="s">
        <v>17</v>
      </c>
      <c r="D1473" s="6">
        <v>57105.599999999999</v>
      </c>
      <c r="E1473" s="6">
        <v>13359</v>
      </c>
      <c r="F1473" s="9">
        <v>0.77</v>
      </c>
      <c r="H1473" s="11"/>
      <c r="I1473" s="11"/>
      <c r="J1473" s="11"/>
    </row>
    <row r="1474" spans="1:10" ht="15.75" x14ac:dyDescent="0.3">
      <c r="A1474" s="12" t="str">
        <f>HYPERLINK("https://parts-sales.ru/parts/MAN/51063120085","51.06312-0085")</f>
        <v>51.06312-0085</v>
      </c>
      <c r="B1474" s="12" t="str">
        <f>HYPERLINK("https://parts-sales.ru/parts/MAN/51063120085","Фланец")</f>
        <v>Фланец</v>
      </c>
      <c r="C1474" s="3" t="s">
        <v>17</v>
      </c>
      <c r="D1474" s="4">
        <v>5328</v>
      </c>
      <c r="E1474" s="4">
        <v>1238</v>
      </c>
      <c r="F1474" s="8">
        <v>0.77</v>
      </c>
      <c r="H1474" s="11"/>
      <c r="I1474" s="11"/>
      <c r="J1474" s="11"/>
    </row>
    <row r="1475" spans="1:10" ht="15.75" x14ac:dyDescent="0.3">
      <c r="A1475" s="13" t="str">
        <f>HYPERLINK("https://parts-sales.ru/parts/MAN/51063120086","51.06312-0086")</f>
        <v>51.06312-0086</v>
      </c>
      <c r="B1475" s="13" t="str">
        <f>HYPERLINK("https://parts-sales.ru/parts/MAN/51063120086","Нажимная часть 28,7X22,4X7,5-9SMNPB28K")</f>
        <v>Нажимная часть 28,7X22,4X7,5-9SMNPB28K</v>
      </c>
      <c r="C1475" s="5" t="s">
        <v>17</v>
      </c>
      <c r="D1475" s="6">
        <v>1314</v>
      </c>
      <c r="E1475" s="6">
        <v>344</v>
      </c>
      <c r="F1475" s="9">
        <v>0.74</v>
      </c>
      <c r="H1475" s="11"/>
      <c r="I1475" s="11"/>
      <c r="J1475" s="11"/>
    </row>
    <row r="1476" spans="1:10" ht="15.75" x14ac:dyDescent="0.3">
      <c r="A1476" s="12" t="str">
        <f>HYPERLINK("https://parts-sales.ru/parts/MAN/51063305040","51.06330-5040")</f>
        <v>51.06330-5040</v>
      </c>
      <c r="B1476" s="12" t="str">
        <f>HYPERLINK("https://parts-sales.ru/parts/MAN/51063305040","Корпус распределителя")</f>
        <v>Корпус распределителя</v>
      </c>
      <c r="C1476" s="3" t="s">
        <v>17</v>
      </c>
      <c r="D1476" s="4">
        <v>232362</v>
      </c>
      <c r="E1476" s="4">
        <v>54307</v>
      </c>
      <c r="F1476" s="8">
        <v>0.77</v>
      </c>
      <c r="H1476" s="11"/>
      <c r="I1476" s="11"/>
      <c r="J1476" s="11"/>
    </row>
    <row r="1477" spans="1:10" ht="15.75" x14ac:dyDescent="0.3">
      <c r="A1477" s="13" t="str">
        <f>HYPERLINK("https://parts-sales.ru/parts/MAN/51063610012","51.06361-0012")</f>
        <v>51.06361-0012</v>
      </c>
      <c r="B1477" s="13" t="str">
        <f>HYPERLINK("https://parts-sales.ru/parts/MAN/51063610012","Патрон фильтра")</f>
        <v>Патрон фильтра</v>
      </c>
      <c r="C1477" s="5" t="s">
        <v>17</v>
      </c>
      <c r="D1477" s="6">
        <v>3195.6</v>
      </c>
      <c r="E1477" s="6">
        <v>868</v>
      </c>
      <c r="F1477" s="9">
        <v>0.73</v>
      </c>
      <c r="H1477" s="11"/>
      <c r="I1477" s="11"/>
      <c r="J1477" s="11"/>
    </row>
    <row r="1478" spans="1:10" ht="15.75" x14ac:dyDescent="0.3">
      <c r="A1478" s="12" t="str">
        <f>HYPERLINK("https://parts-sales.ru/parts/MAN/51065006669","51.06500-6669")</f>
        <v>51.06500-6669</v>
      </c>
      <c r="B1478" s="12" t="str">
        <f>HYPERLINK("https://parts-sales.ru/parts/MAN/51065006669","Охлаждающий насос")</f>
        <v>Охлаждающий насос</v>
      </c>
      <c r="C1478" s="3" t="s">
        <v>17</v>
      </c>
      <c r="D1478" s="4">
        <v>123942</v>
      </c>
      <c r="E1478" s="4">
        <v>29086</v>
      </c>
      <c r="F1478" s="8">
        <v>0.77</v>
      </c>
      <c r="H1478" s="11"/>
      <c r="I1478" s="11"/>
      <c r="J1478" s="11"/>
    </row>
    <row r="1479" spans="1:10" ht="15.75" x14ac:dyDescent="0.3">
      <c r="A1479" s="13" t="str">
        <f>HYPERLINK("https://parts-sales.ru/parts/MAN/51065006692","51.06500-6692")</f>
        <v>51.06500-6692</v>
      </c>
      <c r="B1479" s="13" t="str">
        <f>HYPERLINK("https://parts-sales.ru/parts/MAN/51065006692","Охлаждающий насос")</f>
        <v>Охлаждающий насос</v>
      </c>
      <c r="C1479" s="5" t="s">
        <v>17</v>
      </c>
      <c r="D1479" s="6">
        <v>48203.3</v>
      </c>
      <c r="E1479" s="6">
        <v>24236</v>
      </c>
      <c r="F1479" s="9">
        <v>0.5</v>
      </c>
      <c r="H1479" s="11"/>
      <c r="I1479" s="11"/>
      <c r="J1479" s="11"/>
    </row>
    <row r="1480" spans="1:10" ht="15.75" x14ac:dyDescent="0.3">
      <c r="A1480" s="12" t="str">
        <f>HYPERLINK("https://parts-sales.ru/parts/MAN/51065006695","51.06500-6695")</f>
        <v>51.06500-6695</v>
      </c>
      <c r="B1480" s="12" t="str">
        <f>HYPERLINK("https://parts-sales.ru/parts/MAN/51065006695","Охлаждающий насос")</f>
        <v>Охлаждающий насос</v>
      </c>
      <c r="C1480" s="3" t="s">
        <v>17</v>
      </c>
      <c r="D1480" s="4">
        <v>71091.600000000006</v>
      </c>
      <c r="E1480" s="4">
        <v>27793</v>
      </c>
      <c r="F1480" s="8">
        <v>0.61</v>
      </c>
      <c r="H1480" s="11"/>
      <c r="I1480" s="11"/>
      <c r="J1480" s="11"/>
    </row>
    <row r="1481" spans="1:10" ht="15.75" x14ac:dyDescent="0.3">
      <c r="A1481" s="13" t="str">
        <f>HYPERLINK("https://parts-sales.ru/parts/MAN/51065006699","51.06500-6699")</f>
        <v>51.06500-6699</v>
      </c>
      <c r="B1481" s="13" t="str">
        <f>HYPERLINK("https://parts-sales.ru/parts/MAN/51065006699","Охлаждающий насос")</f>
        <v>Охлаждающий насос</v>
      </c>
      <c r="C1481" s="5" t="s">
        <v>17</v>
      </c>
      <c r="D1481" s="6">
        <v>61970.400000000001</v>
      </c>
      <c r="E1481" s="6">
        <v>15645</v>
      </c>
      <c r="F1481" s="9">
        <v>0.75</v>
      </c>
      <c r="H1481" s="11"/>
      <c r="I1481" s="11"/>
      <c r="J1481" s="11"/>
    </row>
    <row r="1482" spans="1:10" ht="15.75" x14ac:dyDescent="0.3">
      <c r="A1482" s="12" t="str">
        <f>HYPERLINK("https://parts-sales.ru/parts/MAN/51065009692","51.06500-9692")</f>
        <v>51.06500-9692</v>
      </c>
      <c r="B1482" s="12" t="str">
        <f>HYPERLINK("https://parts-sales.ru/parts/MAN/51065009692","Охлаждающий насос")</f>
        <v>Охлаждающий насос</v>
      </c>
      <c r="C1482" s="3" t="s">
        <v>17</v>
      </c>
      <c r="D1482" s="4">
        <v>24251.38</v>
      </c>
      <c r="E1482" s="4">
        <v>14540</v>
      </c>
      <c r="F1482" s="8">
        <v>0.4</v>
      </c>
      <c r="H1482" s="11"/>
      <c r="I1482" s="11"/>
      <c r="J1482" s="11"/>
    </row>
    <row r="1483" spans="1:10" ht="15.75" x14ac:dyDescent="0.3">
      <c r="A1483" s="13" t="str">
        <f>HYPERLINK("https://parts-sales.ru/parts/MAN/51065030418","51.06503-0418")</f>
        <v>51.06503-0418</v>
      </c>
      <c r="B1483" s="13" t="str">
        <f>HYPERLINK("https://parts-sales.ru/parts/MAN/51065030418","Шкив поликлинового ремня")</f>
        <v>Шкив поликлинового ремня</v>
      </c>
      <c r="C1483" s="5" t="s">
        <v>17</v>
      </c>
      <c r="D1483" s="6">
        <v>10004.4</v>
      </c>
      <c r="E1483" s="6">
        <v>2284</v>
      </c>
      <c r="F1483" s="9">
        <v>0.77</v>
      </c>
      <c r="H1483" s="11"/>
      <c r="I1483" s="11"/>
      <c r="J1483" s="11"/>
    </row>
    <row r="1484" spans="1:10" ht="15.75" x14ac:dyDescent="0.3">
      <c r="A1484" s="12" t="str">
        <f>HYPERLINK("https://parts-sales.ru/parts/MAN/51065060129","51.06506-0129")</f>
        <v>51.06506-0129</v>
      </c>
      <c r="B1484" s="12" t="str">
        <f>HYPERLINK("https://parts-sales.ru/parts/MAN/51065060129","Колесо насоса системы охлажд.")</f>
        <v>Колесо насоса системы охлажд.</v>
      </c>
      <c r="C1484" s="3" t="s">
        <v>17</v>
      </c>
      <c r="D1484" s="4">
        <v>19285.2</v>
      </c>
      <c r="E1484" s="4">
        <v>7965</v>
      </c>
      <c r="F1484" s="8">
        <v>0.59</v>
      </c>
      <c r="H1484" s="11"/>
      <c r="I1484" s="11"/>
      <c r="J1484" s="11"/>
    </row>
    <row r="1485" spans="1:10" ht="15.75" x14ac:dyDescent="0.3">
      <c r="A1485" s="13" t="str">
        <f>HYPERLINK("https://parts-sales.ru/parts/MAN/51065060131","51.06506-0131")</f>
        <v>51.06506-0131</v>
      </c>
      <c r="B1485" s="13" t="str">
        <f>HYPERLINK("https://parts-sales.ru/parts/MAN/51065060131","Колесо насоса системы охлажд.")</f>
        <v>Колесо насоса системы охлажд.</v>
      </c>
      <c r="C1485" s="5" t="s">
        <v>17</v>
      </c>
      <c r="D1485" s="6">
        <v>6078</v>
      </c>
      <c r="E1485" s="6">
        <v>1620</v>
      </c>
      <c r="F1485" s="9">
        <v>0.73</v>
      </c>
      <c r="H1485" s="11"/>
      <c r="I1485" s="11"/>
      <c r="J1485" s="11"/>
    </row>
    <row r="1486" spans="1:10" ht="15.75" x14ac:dyDescent="0.3">
      <c r="A1486" s="12" t="str">
        <f>HYPERLINK("https://parts-sales.ru/parts/MAN/51065200085","51.06520-0085")</f>
        <v>51.06520-0085</v>
      </c>
      <c r="B1486" s="12" t="str">
        <f>HYPERLINK("https://parts-sales.ru/parts/MAN/51065200085","Контактное уплот. кольцо")</f>
        <v>Контактное уплот. кольцо</v>
      </c>
      <c r="C1486" s="3" t="s">
        <v>17</v>
      </c>
      <c r="D1486" s="4">
        <v>10729.2</v>
      </c>
      <c r="E1486" s="4">
        <v>3450</v>
      </c>
      <c r="F1486" s="8">
        <v>0.68</v>
      </c>
      <c r="H1486" s="11"/>
      <c r="I1486" s="11"/>
      <c r="J1486" s="11"/>
    </row>
    <row r="1487" spans="1:10" ht="15.75" x14ac:dyDescent="0.3">
      <c r="A1487" s="13" t="str">
        <f>HYPERLINK("https://parts-sales.ru/parts/MAN/51065200108","51.06520-0108")</f>
        <v>51.06520-0108</v>
      </c>
      <c r="B1487" s="13" t="str">
        <f>HYPERLINK("https://parts-sales.ru/parts/MAN/51065200108","Упл. насоса системы охлаждения")</f>
        <v>Упл. насоса системы охлаждения</v>
      </c>
      <c r="C1487" s="5" t="s">
        <v>17</v>
      </c>
      <c r="D1487" s="6">
        <v>77205.600000000006</v>
      </c>
      <c r="E1487" s="6">
        <v>18672</v>
      </c>
      <c r="F1487" s="9">
        <v>0.76</v>
      </c>
      <c r="H1487" s="11"/>
      <c r="I1487" s="11"/>
      <c r="J1487" s="11"/>
    </row>
    <row r="1488" spans="1:10" ht="15.75" x14ac:dyDescent="0.3">
      <c r="A1488" s="12" t="str">
        <f>HYPERLINK("https://parts-sales.ru/parts/MAN/51065996073","51.06599-6073")</f>
        <v>51.06599-6073</v>
      </c>
      <c r="B1488" s="12" t="str">
        <f>HYPERLINK("https://parts-sales.ru/parts/MAN/51065996073","Комплект деталей водяной насос")</f>
        <v>Комплект деталей водяной насос</v>
      </c>
      <c r="C1488" s="3" t="s">
        <v>17</v>
      </c>
      <c r="D1488" s="4">
        <v>63732.639999999999</v>
      </c>
      <c r="E1488" s="4">
        <v>29201</v>
      </c>
      <c r="F1488" s="8">
        <v>0.54</v>
      </c>
      <c r="H1488" s="11"/>
      <c r="I1488" s="11"/>
      <c r="J1488" s="11"/>
    </row>
    <row r="1489" spans="1:10" ht="15.75" x14ac:dyDescent="0.3">
      <c r="A1489" s="13" t="str">
        <f>HYPERLINK("https://parts-sales.ru/parts/MAN/51066007061","51.06600-7061")</f>
        <v>51.06600-7061</v>
      </c>
      <c r="B1489" s="13" t="str">
        <f>HYPERLINK("https://parts-sales.ru/parts/MAN/51066007061","Вентилятор с вязкостной муфтой")</f>
        <v>Вентилятор с вязкостной муфтой</v>
      </c>
      <c r="C1489" s="5" t="s">
        <v>17</v>
      </c>
      <c r="D1489" s="6">
        <v>99820.7</v>
      </c>
      <c r="E1489" s="6">
        <v>37292</v>
      </c>
      <c r="F1489" s="9">
        <v>0.63</v>
      </c>
      <c r="H1489" s="11"/>
      <c r="I1489" s="11"/>
      <c r="J1489" s="11"/>
    </row>
    <row r="1490" spans="1:10" ht="15.75" x14ac:dyDescent="0.3">
      <c r="A1490" s="12" t="str">
        <f>HYPERLINK("https://parts-sales.ru/parts/MAN/51066010287","51.06601-0287")</f>
        <v>51.06601-0287</v>
      </c>
      <c r="B1490" s="12" t="str">
        <f>HYPERLINK("https://parts-sales.ru/parts/MAN/51066010287","Лопасть вентилятора")</f>
        <v>Лопасть вентилятора</v>
      </c>
      <c r="C1490" s="3" t="s">
        <v>17</v>
      </c>
      <c r="D1490" s="4">
        <v>51543.86</v>
      </c>
      <c r="E1490" s="4">
        <v>34362</v>
      </c>
      <c r="F1490" s="8">
        <v>0.33</v>
      </c>
      <c r="H1490" s="11"/>
      <c r="I1490" s="11"/>
      <c r="J1490" s="11"/>
    </row>
    <row r="1491" spans="1:10" ht="15.75" x14ac:dyDescent="0.3">
      <c r="A1491" s="13" t="str">
        <f>HYPERLINK("https://parts-sales.ru/parts/MAN/51066035009","51.06603-5009")</f>
        <v>51.06603-5009</v>
      </c>
      <c r="B1491" s="13" t="str">
        <f>HYPERLINK("https://parts-sales.ru/parts/MAN/51066035009","Вал для")</f>
        <v>Вал для</v>
      </c>
      <c r="C1491" s="5" t="s">
        <v>17</v>
      </c>
      <c r="D1491" s="6">
        <v>88431.25</v>
      </c>
      <c r="E1491" s="6">
        <v>9989</v>
      </c>
      <c r="F1491" s="9">
        <v>0.89</v>
      </c>
      <c r="H1491" s="11"/>
      <c r="I1491" s="11"/>
      <c r="J1491" s="11"/>
    </row>
    <row r="1492" spans="1:10" ht="15.75" x14ac:dyDescent="0.3">
      <c r="A1492" s="12" t="str">
        <f>HYPERLINK("https://parts-sales.ru/parts/MAN/51066060097","51.06606-0097")</f>
        <v>51.06606-0097</v>
      </c>
      <c r="B1492" s="12" t="str">
        <f>HYPERLINK("https://parts-sales.ru/parts/MAN/51066060097","Шкив поликлинового ремня")</f>
        <v>Шкив поликлинового ремня</v>
      </c>
      <c r="C1492" s="3" t="s">
        <v>17</v>
      </c>
      <c r="D1492" s="4">
        <v>47394</v>
      </c>
      <c r="E1492" s="4">
        <v>7321</v>
      </c>
      <c r="F1492" s="8">
        <v>0.85</v>
      </c>
      <c r="H1492" s="11"/>
      <c r="I1492" s="11"/>
      <c r="J1492" s="11"/>
    </row>
    <row r="1493" spans="1:10" ht="15.75" x14ac:dyDescent="0.3">
      <c r="A1493" s="13" t="str">
        <f>HYPERLINK("https://parts-sales.ru/parts/MAN/51066060123","51.06606-0123")</f>
        <v>51.06606-0123</v>
      </c>
      <c r="B1493" s="13" t="str">
        <f>HYPERLINK("https://parts-sales.ru/parts/MAN/51066060123","Шкив поликлинового ремня")</f>
        <v>Шкив поликлинового ремня</v>
      </c>
      <c r="C1493" s="5" t="s">
        <v>17</v>
      </c>
      <c r="D1493" s="6">
        <v>108913.2</v>
      </c>
      <c r="E1493" s="6">
        <v>21913</v>
      </c>
      <c r="F1493" s="9">
        <v>0.8</v>
      </c>
      <c r="H1493" s="11"/>
      <c r="I1493" s="11"/>
      <c r="J1493" s="11"/>
    </row>
    <row r="1494" spans="1:10" ht="15.75" x14ac:dyDescent="0.3">
      <c r="A1494" s="12" t="str">
        <f>HYPERLINK("https://parts-sales.ru/parts/MAN/51066090015","51.06609-0015")</f>
        <v>51.06609-0015</v>
      </c>
      <c r="B1494" s="12" t="str">
        <f>HYPERLINK("https://parts-sales.ru/parts/MAN/51066090015","Кожух")</f>
        <v>Кожух</v>
      </c>
      <c r="C1494" s="3" t="s">
        <v>17</v>
      </c>
      <c r="D1494" s="4">
        <v>20057.36</v>
      </c>
      <c r="E1494" s="4">
        <v>13128</v>
      </c>
      <c r="F1494" s="8">
        <v>0.35</v>
      </c>
      <c r="H1494" s="11"/>
      <c r="I1494" s="11"/>
      <c r="J1494" s="11"/>
    </row>
    <row r="1495" spans="1:10" ht="15.75" x14ac:dyDescent="0.3">
      <c r="A1495" s="13" t="str">
        <f>HYPERLINK("https://parts-sales.ru/parts/MAN/51066300071","51.06630-0071")</f>
        <v>51.06630-0071</v>
      </c>
      <c r="B1495" s="13" t="str">
        <f>HYPERLINK("https://parts-sales.ru/parts/MAN/51066300071","Управляемая муфта вентилятора")</f>
        <v>Управляемая муфта вентилятора</v>
      </c>
      <c r="C1495" s="5" t="s">
        <v>17</v>
      </c>
      <c r="D1495" s="6">
        <v>104726.39999999999</v>
      </c>
      <c r="E1495" s="6">
        <v>16689</v>
      </c>
      <c r="F1495" s="9">
        <v>0.84</v>
      </c>
      <c r="H1495" s="11"/>
      <c r="I1495" s="11"/>
      <c r="J1495" s="11"/>
    </row>
    <row r="1496" spans="1:10" ht="15.75" x14ac:dyDescent="0.3">
      <c r="A1496" s="12" t="str">
        <f>HYPERLINK("https://parts-sales.ru/parts/MAN/51066300077","51.06630-0077")</f>
        <v>51.06630-0077</v>
      </c>
      <c r="B1496" s="12" t="str">
        <f>HYPERLINK("https://parts-sales.ru/parts/MAN/51066300077","Управляемая муфта вентилятора Диаметр")</f>
        <v>Управляемая муфта вентилятора Диаметр</v>
      </c>
      <c r="C1496" s="3" t="s">
        <v>17</v>
      </c>
      <c r="D1496" s="4">
        <v>98485.26</v>
      </c>
      <c r="E1496" s="4">
        <v>45124</v>
      </c>
      <c r="F1496" s="8">
        <v>0.54</v>
      </c>
      <c r="H1496" s="11"/>
      <c r="I1496" s="11"/>
      <c r="J1496" s="11"/>
    </row>
    <row r="1497" spans="1:10" ht="15.75" x14ac:dyDescent="0.3">
      <c r="A1497" s="13" t="str">
        <f>HYPERLINK("https://parts-sales.ru/parts/MAN/51066300149","51.06630-0149")</f>
        <v>51.06630-0149</v>
      </c>
      <c r="B1497" s="13" t="str">
        <f>HYPERLINK("https://parts-sales.ru/parts/MAN/51066300149","Управляемая муфта вентилятора")</f>
        <v>Управляемая муфта вентилятора</v>
      </c>
      <c r="C1497" s="5" t="s">
        <v>17</v>
      </c>
      <c r="D1497" s="6">
        <v>223486.37</v>
      </c>
      <c r="E1497" s="6">
        <v>104024</v>
      </c>
      <c r="F1497" s="9">
        <v>0.53</v>
      </c>
      <c r="H1497" s="11"/>
      <c r="I1497" s="11"/>
      <c r="J1497" s="11"/>
    </row>
    <row r="1498" spans="1:10" ht="15.75" x14ac:dyDescent="0.3">
      <c r="A1498" s="12" t="str">
        <f>HYPERLINK("https://parts-sales.ru/parts/MAN/51066307024","51.06630-7024")</f>
        <v>51.06630-7024</v>
      </c>
      <c r="B1498" s="12" t="str">
        <f>HYPERLINK("https://parts-sales.ru/parts/MAN/51066307024","Опорный кронштейн")</f>
        <v>Опорный кронштейн</v>
      </c>
      <c r="C1498" s="3" t="s">
        <v>17</v>
      </c>
      <c r="D1498" s="4">
        <v>4074.7</v>
      </c>
      <c r="E1498" s="4">
        <v>1901</v>
      </c>
      <c r="F1498" s="8">
        <v>0.53</v>
      </c>
      <c r="H1498" s="11"/>
      <c r="I1498" s="11"/>
      <c r="J1498" s="11"/>
    </row>
    <row r="1499" spans="1:10" ht="15.75" x14ac:dyDescent="0.3">
      <c r="A1499" s="13" t="str">
        <f>HYPERLINK("https://parts-sales.ru/parts/MAN/51066406012","51.06640-6012")</f>
        <v>51.06640-6012</v>
      </c>
      <c r="B1499" s="13" t="str">
        <f>HYPERLINK("https://parts-sales.ru/parts/MAN/51066406012","Держатель")</f>
        <v>Держатель</v>
      </c>
      <c r="C1499" s="5" t="s">
        <v>17</v>
      </c>
      <c r="D1499" s="6">
        <v>40667.4</v>
      </c>
      <c r="E1499" s="6">
        <v>16986</v>
      </c>
      <c r="F1499" s="9">
        <v>0.57999999999999996</v>
      </c>
      <c r="H1499" s="11"/>
      <c r="I1499" s="11"/>
      <c r="J1499" s="11"/>
    </row>
    <row r="1500" spans="1:10" ht="15.75" x14ac:dyDescent="0.3">
      <c r="A1500" s="12" t="str">
        <f>HYPERLINK("https://parts-sales.ru/parts/MAN/51069010093","51.06901-0093")</f>
        <v>51.06901-0093</v>
      </c>
      <c r="B1500" s="12" t="str">
        <f>HYPERLINK("https://parts-sales.ru/parts/MAN/51069010093","Упл. насоса системы охлаждения без асбес")</f>
        <v>Упл. насоса системы охлаждения без асбес</v>
      </c>
      <c r="C1500" s="3" t="s">
        <v>17</v>
      </c>
      <c r="D1500" s="4">
        <v>2620.8000000000002</v>
      </c>
      <c r="E1500" s="4">
        <v>522</v>
      </c>
      <c r="F1500" s="8">
        <v>0.8</v>
      </c>
      <c r="H1500" s="11"/>
      <c r="I1500" s="11"/>
      <c r="J1500" s="11"/>
    </row>
    <row r="1501" spans="1:10" ht="15.75" x14ac:dyDescent="0.3">
      <c r="A1501" s="13" t="str">
        <f>HYPERLINK("https://parts-sales.ru/parts/MAN/51069010094","51.06901-0094")</f>
        <v>51.06901-0094</v>
      </c>
      <c r="B1501" s="13" t="str">
        <f>HYPERLINK("https://parts-sales.ru/parts/MAN/51069010094","Упл. насоса системы охлаждения без асбес")</f>
        <v>Упл. насоса системы охлаждения без асбес</v>
      </c>
      <c r="C1501" s="5" t="s">
        <v>17</v>
      </c>
      <c r="D1501" s="6">
        <v>4249.2</v>
      </c>
      <c r="E1501" s="6">
        <v>851</v>
      </c>
      <c r="F1501" s="9">
        <v>0.8</v>
      </c>
      <c r="H1501" s="11"/>
      <c r="I1501" s="11"/>
      <c r="J1501" s="11"/>
    </row>
    <row r="1502" spans="1:10" ht="15.75" x14ac:dyDescent="0.3">
      <c r="A1502" s="12" t="str">
        <f>HYPERLINK("https://parts-sales.ru/parts/MAN/51069010145","51.06901-0145")</f>
        <v>51.06901-0145</v>
      </c>
      <c r="B1502" s="12" t="str">
        <f>HYPERLINK("https://parts-sales.ru/parts/MAN/51069010145","Уплотнение Замедлитель")</f>
        <v>Уплотнение Замедлитель</v>
      </c>
      <c r="C1502" s="3" t="s">
        <v>17</v>
      </c>
      <c r="D1502" s="4">
        <v>1453.2</v>
      </c>
      <c r="E1502" s="4">
        <v>533</v>
      </c>
      <c r="F1502" s="8">
        <v>0.63</v>
      </c>
      <c r="H1502" s="11"/>
      <c r="I1502" s="11"/>
      <c r="J1502" s="11"/>
    </row>
    <row r="1503" spans="1:10" ht="15.75" x14ac:dyDescent="0.3">
      <c r="A1503" s="13" t="str">
        <f>HYPERLINK("https://parts-sales.ru/parts/MAN/51069010160","51.06901-0160")</f>
        <v>51.06901-0160</v>
      </c>
      <c r="B1503" s="13" t="str">
        <f>HYPERLINK("https://parts-sales.ru/parts/MAN/51069010160","Упл. насоса системы охлаждения без асбес")</f>
        <v>Упл. насоса системы охлаждения без асбес</v>
      </c>
      <c r="C1503" s="5" t="s">
        <v>17</v>
      </c>
      <c r="D1503" s="6">
        <v>2263.1999999999998</v>
      </c>
      <c r="E1503" s="6">
        <v>527</v>
      </c>
      <c r="F1503" s="9">
        <v>0.77</v>
      </c>
      <c r="H1503" s="11"/>
      <c r="I1503" s="11"/>
      <c r="J1503" s="11"/>
    </row>
    <row r="1504" spans="1:10" ht="15.75" x14ac:dyDescent="0.3">
      <c r="A1504" s="12" t="str">
        <f>HYPERLINK("https://parts-sales.ru/parts/MAN/51069010167","51.06901-0167")</f>
        <v>51.06901-0167</v>
      </c>
      <c r="B1504" s="12" t="str">
        <f>HYPERLINK("https://parts-sales.ru/parts/MAN/51069010167","Упл. насоса системы охлаждения без асбес")</f>
        <v>Упл. насоса системы охлаждения без асбес</v>
      </c>
      <c r="C1504" s="3" t="s">
        <v>17</v>
      </c>
      <c r="D1504" s="4">
        <v>2263.1999999999998</v>
      </c>
      <c r="E1504" s="4">
        <v>521</v>
      </c>
      <c r="F1504" s="8">
        <v>0.77</v>
      </c>
      <c r="H1504" s="11"/>
      <c r="I1504" s="11"/>
      <c r="J1504" s="11"/>
    </row>
    <row r="1505" spans="1:10" ht="15.75" x14ac:dyDescent="0.3">
      <c r="A1505" s="13" t="str">
        <f>HYPERLINK("https://parts-sales.ru/parts/MAN/51069010183","51.06901-0183")</f>
        <v>51.06901-0183</v>
      </c>
      <c r="B1505" s="13" t="str">
        <f>HYPERLINK("https://parts-sales.ru/parts/MAN/51069010183","Упл. насоса системы охлаждения без асбес")</f>
        <v>Упл. насоса системы охлаждения без асбес</v>
      </c>
      <c r="C1505" s="5" t="s">
        <v>17</v>
      </c>
      <c r="D1505" s="6">
        <v>1086</v>
      </c>
      <c r="E1505" s="6">
        <v>326</v>
      </c>
      <c r="F1505" s="9">
        <v>0.7</v>
      </c>
      <c r="H1505" s="11"/>
      <c r="I1505" s="11"/>
      <c r="J1505" s="11"/>
    </row>
    <row r="1506" spans="1:10" ht="15.75" x14ac:dyDescent="0.3">
      <c r="A1506" s="12" t="str">
        <f>HYPERLINK("https://parts-sales.ru/parts/MAN/51069010184","51.06901-0184")</f>
        <v>51.06901-0184</v>
      </c>
      <c r="B1506" s="12" t="str">
        <f>HYPERLINK("https://parts-sales.ru/parts/MAN/51069010184","Упл. насоса системы охлаждения")</f>
        <v>Упл. насоса системы охлаждения</v>
      </c>
      <c r="C1506" s="3" t="s">
        <v>17</v>
      </c>
      <c r="D1506" s="4">
        <v>2263.1999999999998</v>
      </c>
      <c r="E1506" s="4">
        <v>602</v>
      </c>
      <c r="F1506" s="8">
        <v>0.73</v>
      </c>
      <c r="H1506" s="11"/>
      <c r="I1506" s="11"/>
      <c r="J1506" s="11"/>
    </row>
    <row r="1507" spans="1:10" ht="15.75" x14ac:dyDescent="0.3">
      <c r="A1507" s="13" t="str">
        <f>HYPERLINK("https://parts-sales.ru/parts/MAN/51069010196","51.06901-0196")</f>
        <v>51.06901-0196</v>
      </c>
      <c r="B1507" s="13" t="str">
        <f>HYPERLINK("https://parts-sales.ru/parts/MAN/51069010196","Упл. насоса системы охлаждения")</f>
        <v>Упл. насоса системы охлаждения</v>
      </c>
      <c r="C1507" s="5" t="s">
        <v>17</v>
      </c>
      <c r="D1507" s="6">
        <v>1701.6</v>
      </c>
      <c r="E1507" s="6">
        <v>712</v>
      </c>
      <c r="F1507" s="9">
        <v>0.57999999999999996</v>
      </c>
      <c r="H1507" s="11"/>
      <c r="I1507" s="11"/>
      <c r="J1507" s="11"/>
    </row>
    <row r="1508" spans="1:10" ht="15.75" x14ac:dyDescent="0.3">
      <c r="A1508" s="12" t="str">
        <f>HYPERLINK("https://parts-sales.ru/parts/MAN/51069030030","51.06903-0030")</f>
        <v>51.06903-0030</v>
      </c>
      <c r="B1508" s="12" t="str">
        <f>HYPERLINK("https://parts-sales.ru/parts/MAN/51069030030","Уплотнение трубы охлаждения без асбеста")</f>
        <v>Уплотнение трубы охлаждения без асбеста</v>
      </c>
      <c r="C1508" s="3" t="s">
        <v>17</v>
      </c>
      <c r="D1508" s="4">
        <v>1063.2</v>
      </c>
      <c r="E1508" s="4">
        <v>201</v>
      </c>
      <c r="F1508" s="8">
        <v>0.81</v>
      </c>
      <c r="H1508" s="11"/>
      <c r="I1508" s="11"/>
      <c r="J1508" s="11"/>
    </row>
    <row r="1509" spans="1:10" ht="15.75" x14ac:dyDescent="0.3">
      <c r="A1509" s="13" t="str">
        <f>HYPERLINK("https://parts-sales.ru/parts/MAN/51069040023","51.06904-0023")</f>
        <v>51.06904-0023</v>
      </c>
      <c r="B1509" s="13" t="str">
        <f>HYPERLINK("https://parts-sales.ru/parts/MAN/51069040023","Уплотнение термостата без асбеста")</f>
        <v>Уплотнение термостата без асбеста</v>
      </c>
      <c r="C1509" s="5" t="s">
        <v>17</v>
      </c>
      <c r="D1509" s="6">
        <v>745.2</v>
      </c>
      <c r="E1509" s="6">
        <v>147</v>
      </c>
      <c r="F1509" s="9">
        <v>0.8</v>
      </c>
      <c r="H1509" s="11"/>
      <c r="I1509" s="11"/>
      <c r="J1509" s="11"/>
    </row>
    <row r="1510" spans="1:10" ht="15.75" x14ac:dyDescent="0.3">
      <c r="A1510" s="12" t="str">
        <f>HYPERLINK("https://parts-sales.ru/parts/MAN/51069040025","51.06904-0025")</f>
        <v>51.06904-0025</v>
      </c>
      <c r="B1510" s="12" t="str">
        <f>HYPERLINK("https://parts-sales.ru/parts/MAN/51069040025","Уплотнение термостата без асбеста")</f>
        <v>Уплотнение термостата без асбеста</v>
      </c>
      <c r="C1510" s="3" t="s">
        <v>17</v>
      </c>
      <c r="D1510" s="4">
        <v>2967.6</v>
      </c>
      <c r="E1510" s="4">
        <v>596</v>
      </c>
      <c r="F1510" s="8">
        <v>0.8</v>
      </c>
      <c r="H1510" s="11"/>
      <c r="I1510" s="11"/>
      <c r="J1510" s="11"/>
    </row>
    <row r="1511" spans="1:10" ht="15.75" x14ac:dyDescent="0.3">
      <c r="A1511" s="13" t="str">
        <f>HYPERLINK("https://parts-sales.ru/parts/MAN/51069040036","51.06904-0036")</f>
        <v>51.06904-0036</v>
      </c>
      <c r="B1511" s="13" t="str">
        <f>HYPERLINK("https://parts-sales.ru/parts/MAN/51069040036","Уплотнительное кольцо")</f>
        <v>Уплотнительное кольцо</v>
      </c>
      <c r="C1511" s="5" t="s">
        <v>17</v>
      </c>
      <c r="D1511" s="6">
        <v>3418.8</v>
      </c>
      <c r="E1511" s="6">
        <v>723</v>
      </c>
      <c r="F1511" s="9">
        <v>0.79</v>
      </c>
      <c r="H1511" s="11"/>
      <c r="I1511" s="11"/>
      <c r="J1511" s="11"/>
    </row>
    <row r="1512" spans="1:10" ht="15.75" x14ac:dyDescent="0.3">
      <c r="A1512" s="12" t="str">
        <f>HYPERLINK("https://parts-sales.ru/parts/MAN/51081009197","51.08100-9197")</f>
        <v>51.08100-9197</v>
      </c>
      <c r="B1512" s="12" t="str">
        <f>HYPERLINK("https://parts-sales.ru/parts/MAN/51081009197","Модуль рецир-ции отраб. газов")</f>
        <v>Модуль рецир-ции отраб. газов</v>
      </c>
      <c r="C1512" s="3" t="s">
        <v>17</v>
      </c>
      <c r="D1512" s="4">
        <v>356017.2</v>
      </c>
      <c r="E1512" s="4">
        <v>155354</v>
      </c>
      <c r="F1512" s="8">
        <v>0.56000000000000005</v>
      </c>
      <c r="H1512" s="11"/>
      <c r="I1512" s="11"/>
      <c r="J1512" s="11"/>
    </row>
    <row r="1513" spans="1:10" ht="15.75" x14ac:dyDescent="0.3">
      <c r="A1513" s="13" t="str">
        <f>HYPERLINK("https://parts-sales.ru/parts/MAN/51081015211","51.08101-5211")</f>
        <v>51.08101-5211</v>
      </c>
      <c r="B1513" s="13" t="str">
        <f>HYPERLINK("https://parts-sales.ru/parts/MAN/51081015211","Выпускной коллектор ABGASKRUEMMER  ISOLI")</f>
        <v>Выпускной коллектор ABGASKRUEMMER  ISOLI</v>
      </c>
      <c r="C1513" s="5" t="s">
        <v>17</v>
      </c>
      <c r="D1513" s="6">
        <v>192711.6</v>
      </c>
      <c r="E1513" s="6">
        <v>34124</v>
      </c>
      <c r="F1513" s="9">
        <v>0.82</v>
      </c>
      <c r="H1513" s="11"/>
      <c r="I1513" s="11"/>
      <c r="J1513" s="11"/>
    </row>
    <row r="1514" spans="1:10" ht="15.75" x14ac:dyDescent="0.3">
      <c r="A1514" s="12" t="str">
        <f>HYPERLINK("https://parts-sales.ru/parts/MAN/51081016156","51.08101-6156")</f>
        <v>51.08101-6156</v>
      </c>
      <c r="B1514" s="12" t="str">
        <f>HYPERLINK("https://parts-sales.ru/parts/MAN/51081016156","Выпускной коллектор 4-отверстный")</f>
        <v>Выпускной коллектор 4-отверстный</v>
      </c>
      <c r="C1514" s="3" t="s">
        <v>17</v>
      </c>
      <c r="D1514" s="4">
        <v>346413.79</v>
      </c>
      <c r="E1514" s="4">
        <v>207063</v>
      </c>
      <c r="F1514" s="8">
        <v>0.4</v>
      </c>
      <c r="H1514" s="11"/>
      <c r="I1514" s="11"/>
      <c r="J1514" s="11"/>
    </row>
    <row r="1515" spans="1:10" ht="15.75" x14ac:dyDescent="0.3">
      <c r="A1515" s="13" t="str">
        <f>HYPERLINK("https://parts-sales.ru/parts/MAN/51081016317","51.08101-6317")</f>
        <v>51.08101-6317</v>
      </c>
      <c r="B1515" s="13" t="str">
        <f>HYPERLINK("https://parts-sales.ru/parts/MAN/51081016317","Выпускной коллектор")</f>
        <v>Выпускной коллектор</v>
      </c>
      <c r="C1515" s="5" t="s">
        <v>17</v>
      </c>
      <c r="D1515" s="6">
        <v>44726.84</v>
      </c>
      <c r="E1515" s="6">
        <v>26348</v>
      </c>
      <c r="F1515" s="9">
        <v>0.41</v>
      </c>
      <c r="H1515" s="11"/>
      <c r="I1515" s="11"/>
      <c r="J1515" s="11"/>
    </row>
    <row r="1516" spans="1:10" ht="15.75" x14ac:dyDescent="0.3">
      <c r="A1516" s="12" t="str">
        <f>HYPERLINK("https://parts-sales.ru/parts/MAN/51081016319","51.08101-6319")</f>
        <v>51.08101-6319</v>
      </c>
      <c r="B1516" s="12" t="str">
        <f>HYPERLINK("https://parts-sales.ru/parts/MAN/51081016319","Выпускной коллектор")</f>
        <v>Выпускной коллектор</v>
      </c>
      <c r="C1516" s="3" t="s">
        <v>17</v>
      </c>
      <c r="D1516" s="4">
        <v>51453.16</v>
      </c>
      <c r="E1516" s="4">
        <v>23575</v>
      </c>
      <c r="F1516" s="8">
        <v>0.54</v>
      </c>
      <c r="H1516" s="11"/>
      <c r="I1516" s="11"/>
      <c r="J1516" s="11"/>
    </row>
    <row r="1517" spans="1:10" ht="15.75" x14ac:dyDescent="0.3">
      <c r="A1517" s="13" t="str">
        <f>HYPERLINK("https://parts-sales.ru/parts/MAN/51081016320","51.08101-6320")</f>
        <v>51.08101-6320</v>
      </c>
      <c r="B1517" s="13" t="str">
        <f>HYPERLINK("https://parts-sales.ru/parts/MAN/51081016320","Выпускной коллектор")</f>
        <v>Выпускной коллектор</v>
      </c>
      <c r="C1517" s="5" t="s">
        <v>17</v>
      </c>
      <c r="D1517" s="6">
        <v>75494.95</v>
      </c>
      <c r="E1517" s="6">
        <v>31499</v>
      </c>
      <c r="F1517" s="9">
        <v>0.57999999999999996</v>
      </c>
      <c r="H1517" s="11"/>
      <c r="I1517" s="11"/>
      <c r="J1517" s="11"/>
    </row>
    <row r="1518" spans="1:10" ht="15.75" x14ac:dyDescent="0.3">
      <c r="A1518" s="12" t="str">
        <f>HYPERLINK("https://parts-sales.ru/parts/MAN/51081016324","51.08101-6324")</f>
        <v>51.08101-6324</v>
      </c>
      <c r="B1518" s="12" t="str">
        <f>HYPERLINK("https://parts-sales.ru/parts/MAN/51081016324","Выпускной коллектор")</f>
        <v>Выпускной коллектор</v>
      </c>
      <c r="C1518" s="3" t="s">
        <v>17</v>
      </c>
      <c r="D1518" s="4">
        <v>128983.2</v>
      </c>
      <c r="E1518" s="4">
        <v>31029</v>
      </c>
      <c r="F1518" s="8">
        <v>0.76</v>
      </c>
      <c r="H1518" s="11"/>
      <c r="I1518" s="11"/>
      <c r="J1518" s="11"/>
    </row>
    <row r="1519" spans="1:10" ht="15.75" x14ac:dyDescent="0.3">
      <c r="A1519" s="13" t="str">
        <f>HYPERLINK("https://parts-sales.ru/parts/MAN/51081016356","51.08101-6356")</f>
        <v>51.08101-6356</v>
      </c>
      <c r="B1519" s="13" t="str">
        <f>HYPERLINK("https://parts-sales.ru/parts/MAN/51081016356","Выпускной коллектор")</f>
        <v>Выпускной коллектор</v>
      </c>
      <c r="C1519" s="5" t="s">
        <v>17</v>
      </c>
      <c r="D1519" s="6">
        <v>102257.36</v>
      </c>
      <c r="E1519" s="6">
        <v>46853</v>
      </c>
      <c r="F1519" s="9">
        <v>0.54</v>
      </c>
      <c r="H1519" s="11"/>
      <c r="I1519" s="11"/>
      <c r="J1519" s="11"/>
    </row>
    <row r="1520" spans="1:10" ht="15.75" x14ac:dyDescent="0.3">
      <c r="A1520" s="12" t="str">
        <f>HYPERLINK("https://parts-sales.ru/parts/MAN/51081020729","51.08102-0729")</f>
        <v>51.08102-0729</v>
      </c>
      <c r="B1520" s="12" t="str">
        <f>HYPERLINK("https://parts-sales.ru/parts/MAN/51081020729","Крышка")</f>
        <v>Крышка</v>
      </c>
      <c r="C1520" s="3" t="s">
        <v>17</v>
      </c>
      <c r="D1520" s="4">
        <v>67081.2</v>
      </c>
      <c r="E1520" s="4">
        <v>13675</v>
      </c>
      <c r="F1520" s="8">
        <v>0.8</v>
      </c>
      <c r="H1520" s="11"/>
      <c r="I1520" s="11"/>
      <c r="J1520" s="11"/>
    </row>
    <row r="1521" spans="1:10" ht="15.75" x14ac:dyDescent="0.3">
      <c r="A1521" s="13" t="str">
        <f>HYPERLINK("https://parts-sales.ru/parts/MAN/51081020730","51.08102-0730")</f>
        <v>51.08102-0730</v>
      </c>
      <c r="B1521" s="13" t="str">
        <f>HYPERLINK("https://parts-sales.ru/parts/MAN/51081020730","Крышка")</f>
        <v>Крышка</v>
      </c>
      <c r="C1521" s="5" t="s">
        <v>17</v>
      </c>
      <c r="D1521" s="6">
        <v>50194.74</v>
      </c>
      <c r="E1521" s="6">
        <v>22998</v>
      </c>
      <c r="F1521" s="9">
        <v>0.54</v>
      </c>
      <c r="H1521" s="11"/>
      <c r="I1521" s="11"/>
      <c r="J1521" s="11"/>
    </row>
    <row r="1522" spans="1:10" ht="15.75" x14ac:dyDescent="0.3">
      <c r="A1522" s="12" t="str">
        <f>HYPERLINK("https://parts-sales.ru/parts/MAN/51081200299","51.08120-0299")</f>
        <v>51.08120-0299</v>
      </c>
      <c r="B1522" s="12" t="str">
        <f>HYPERLINK("https://parts-sales.ru/parts/MAN/51081200299","Теплозащитный щиток")</f>
        <v>Теплозащитный щиток</v>
      </c>
      <c r="C1522" s="3" t="s">
        <v>17</v>
      </c>
      <c r="D1522" s="4">
        <v>10347.700000000001</v>
      </c>
      <c r="E1522" s="4">
        <v>6209</v>
      </c>
      <c r="F1522" s="8">
        <v>0.4</v>
      </c>
      <c r="H1522" s="11"/>
      <c r="I1522" s="11"/>
      <c r="J1522" s="11"/>
    </row>
    <row r="1523" spans="1:10" ht="15.75" x14ac:dyDescent="0.3">
      <c r="A1523" s="13" t="str">
        <f>HYPERLINK("https://parts-sales.ru/parts/MAN/51081205320","51.08120-5320")</f>
        <v>51.08120-5320</v>
      </c>
      <c r="B1523" s="13" t="str">
        <f>HYPERLINK("https://parts-sales.ru/parts/MAN/51081205320","Теплозащитный щиток")</f>
        <v>Теплозащитный щиток</v>
      </c>
      <c r="C1523" s="5" t="s">
        <v>17</v>
      </c>
      <c r="D1523" s="6">
        <v>38638.800000000003</v>
      </c>
      <c r="E1523" s="6">
        <v>8840</v>
      </c>
      <c r="F1523" s="9">
        <v>0.77</v>
      </c>
      <c r="H1523" s="11"/>
      <c r="I1523" s="11"/>
      <c r="J1523" s="11"/>
    </row>
    <row r="1524" spans="1:10" ht="15.75" x14ac:dyDescent="0.3">
      <c r="A1524" s="12" t="str">
        <f>HYPERLINK("https://parts-sales.ru/parts/MAN/51081205328","51.08120-5328")</f>
        <v>51.08120-5328</v>
      </c>
      <c r="B1524" s="12" t="str">
        <f>HYPERLINK("https://parts-sales.ru/parts/MAN/51081205328","Теплозащитный щиток цилиндр 1-2")</f>
        <v>Теплозащитный щиток цилиндр 1-2</v>
      </c>
      <c r="C1524" s="3" t="s">
        <v>17</v>
      </c>
      <c r="D1524" s="4">
        <v>9660</v>
      </c>
      <c r="E1524" s="4">
        <v>1817</v>
      </c>
      <c r="F1524" s="8">
        <v>0.81</v>
      </c>
      <c r="H1524" s="11"/>
      <c r="I1524" s="11"/>
      <c r="J1524" s="11"/>
    </row>
    <row r="1525" spans="1:10" ht="15.75" x14ac:dyDescent="0.3">
      <c r="A1525" s="13" t="str">
        <f>HYPERLINK("https://parts-sales.ru/parts/MAN/51081205341","51.08120-5341")</f>
        <v>51.08120-5341</v>
      </c>
      <c r="B1525" s="13" t="str">
        <f>HYPERLINK("https://parts-sales.ru/parts/MAN/51081205341","Теплозащитный щиток Цилиндр 3")</f>
        <v>Теплозащитный щиток Цилиндр 3</v>
      </c>
      <c r="C1525" s="5" t="s">
        <v>17</v>
      </c>
      <c r="D1525" s="6">
        <v>8217.6</v>
      </c>
      <c r="E1525" s="6">
        <v>1471</v>
      </c>
      <c r="F1525" s="9">
        <v>0.82</v>
      </c>
      <c r="H1525" s="11"/>
      <c r="I1525" s="11"/>
      <c r="J1525" s="11"/>
    </row>
    <row r="1526" spans="1:10" ht="15.75" x14ac:dyDescent="0.3">
      <c r="A1526" s="12" t="str">
        <f>HYPERLINK("https://parts-sales.ru/parts/MAN/51081205346","51.08120-5346")</f>
        <v>51.08120-5346</v>
      </c>
      <c r="B1526" s="12" t="str">
        <f>HYPERLINK("https://parts-sales.ru/parts/MAN/51081205346","Теплозащитный щиток")</f>
        <v>Теплозащитный щиток</v>
      </c>
      <c r="C1526" s="3" t="s">
        <v>17</v>
      </c>
      <c r="D1526" s="4">
        <v>9339.6</v>
      </c>
      <c r="E1526" s="4">
        <v>1574</v>
      </c>
      <c r="F1526" s="8">
        <v>0.83</v>
      </c>
      <c r="H1526" s="11"/>
      <c r="I1526" s="11"/>
      <c r="J1526" s="11"/>
    </row>
    <row r="1527" spans="1:10" ht="15.75" x14ac:dyDescent="0.3">
      <c r="A1527" s="13" t="str">
        <f>HYPERLINK("https://parts-sales.ru/parts/MAN/51081500051","51.08150-0051")</f>
        <v>51.08150-0051</v>
      </c>
      <c r="B1527" s="13" t="str">
        <f>HYPERLINK("https://parts-sales.ru/parts/MAN/51081500051","Пневмоцилиндр")</f>
        <v>Пневмоцилиндр</v>
      </c>
      <c r="C1527" s="5" t="s">
        <v>17</v>
      </c>
      <c r="D1527" s="6">
        <v>45332.83</v>
      </c>
      <c r="E1527" s="6">
        <v>18915</v>
      </c>
      <c r="F1527" s="9">
        <v>0.57999999999999996</v>
      </c>
      <c r="H1527" s="11"/>
      <c r="I1527" s="11"/>
      <c r="J1527" s="11"/>
    </row>
    <row r="1528" spans="1:10" ht="15.75" x14ac:dyDescent="0.3">
      <c r="A1528" s="12" t="str">
        <f>HYPERLINK("https://parts-sales.ru/parts/MAN/51081500076","51.08150-0076")</f>
        <v>51.08150-0076</v>
      </c>
      <c r="B1528" s="12" t="str">
        <f>HYPERLINK("https://parts-sales.ru/parts/MAN/51081500076","Обратный клапан")</f>
        <v>Обратный клапан</v>
      </c>
      <c r="C1528" s="3" t="s">
        <v>17</v>
      </c>
      <c r="D1528" s="4">
        <v>28640.400000000001</v>
      </c>
      <c r="E1528" s="4">
        <v>7366</v>
      </c>
      <c r="F1528" s="8">
        <v>0.74</v>
      </c>
      <c r="H1528" s="11"/>
      <c r="I1528" s="11"/>
      <c r="J1528" s="11"/>
    </row>
    <row r="1529" spans="1:10" ht="15.75" x14ac:dyDescent="0.3">
      <c r="A1529" s="13" t="str">
        <f>HYPERLINK("https://parts-sales.ru/parts/MAN/51081506064","51.08150-6064")</f>
        <v>51.08150-6064</v>
      </c>
      <c r="B1529" s="13" t="str">
        <f>HYPERLINK("https://parts-sales.ru/parts/MAN/51081506064","Блокирующий клапан Модуль рецир-ции отра")</f>
        <v>Блокирующий клапан Модуль рецир-ции отра</v>
      </c>
      <c r="C1529" s="5" t="s">
        <v>17</v>
      </c>
      <c r="D1529" s="6">
        <v>61882.52</v>
      </c>
      <c r="E1529" s="6">
        <v>25819</v>
      </c>
      <c r="F1529" s="9">
        <v>0.57999999999999996</v>
      </c>
      <c r="H1529" s="11"/>
      <c r="I1529" s="11"/>
      <c r="J1529" s="11"/>
    </row>
    <row r="1530" spans="1:10" ht="15.75" x14ac:dyDescent="0.3">
      <c r="A1530" s="12" t="str">
        <f>HYPERLINK("https://parts-sales.ru/parts/MAN/51081506101","51.08150-6101")</f>
        <v>51.08150-6101</v>
      </c>
      <c r="B1530" s="12" t="str">
        <f>HYPERLINK("https://parts-sales.ru/parts/MAN/51081506101","Блокирующий клапан")</f>
        <v>Блокирующий клапан</v>
      </c>
      <c r="C1530" s="3" t="s">
        <v>17</v>
      </c>
      <c r="D1530" s="4">
        <v>68328.58</v>
      </c>
      <c r="E1530" s="4">
        <v>31886</v>
      </c>
      <c r="F1530" s="8">
        <v>0.53</v>
      </c>
      <c r="H1530" s="11"/>
      <c r="I1530" s="11"/>
      <c r="J1530" s="11"/>
    </row>
    <row r="1531" spans="1:10" ht="15.75" x14ac:dyDescent="0.3">
      <c r="A1531" s="13" t="str">
        <f>HYPERLINK("https://parts-sales.ru/parts/MAN/51081506130","51.08150-6130")</f>
        <v>51.08150-6130</v>
      </c>
      <c r="B1531" s="13" t="str">
        <f>HYPERLINK("https://parts-sales.ru/parts/MAN/51081506130","Блокирующий клапан")</f>
        <v>Блокирующий клапан</v>
      </c>
      <c r="C1531" s="5" t="s">
        <v>17</v>
      </c>
      <c r="D1531" s="6">
        <v>104785.45</v>
      </c>
      <c r="E1531" s="6">
        <v>43720</v>
      </c>
      <c r="F1531" s="9">
        <v>0.57999999999999996</v>
      </c>
      <c r="H1531" s="11"/>
      <c r="I1531" s="11"/>
      <c r="J1531" s="11"/>
    </row>
    <row r="1532" spans="1:10" ht="15.75" x14ac:dyDescent="0.3">
      <c r="A1532" s="12" t="str">
        <f>HYPERLINK("https://parts-sales.ru/parts/MAN/51081530031","51.08153-0031")</f>
        <v>51.08153-0031</v>
      </c>
      <c r="B1532" s="12" t="str">
        <f>HYPERLINK("https://parts-sales.ru/parts/MAN/51081530031","Выпускной трубопровод Модуль рецир-ции о")</f>
        <v>Выпускной трубопровод Модуль рецир-ции о</v>
      </c>
      <c r="C1532" s="3" t="s">
        <v>17</v>
      </c>
      <c r="D1532" s="4">
        <v>41944.800000000003</v>
      </c>
      <c r="E1532" s="4">
        <v>12416</v>
      </c>
      <c r="F1532" s="8">
        <v>0.7</v>
      </c>
      <c r="H1532" s="11"/>
      <c r="I1532" s="11"/>
      <c r="J1532" s="11"/>
    </row>
    <row r="1533" spans="1:10" ht="15.75" x14ac:dyDescent="0.3">
      <c r="A1533" s="13" t="str">
        <f>HYPERLINK("https://parts-sales.ru/parts/MAN/51081530050","51.08153-0050")</f>
        <v>51.08153-0050</v>
      </c>
      <c r="B1533" s="13" t="str">
        <f>HYPERLINK("https://parts-sales.ru/parts/MAN/51081530050","Выпускной трубопровод Модуль рецир-ции о")</f>
        <v>Выпускной трубопровод Модуль рецир-ции о</v>
      </c>
      <c r="C1533" s="5" t="s">
        <v>17</v>
      </c>
      <c r="D1533" s="6">
        <v>45883.199999999997</v>
      </c>
      <c r="E1533" s="6">
        <v>2619</v>
      </c>
      <c r="F1533" s="9">
        <v>0.94</v>
      </c>
      <c r="H1533" s="11"/>
      <c r="I1533" s="11"/>
      <c r="J1533" s="11"/>
    </row>
    <row r="1534" spans="1:10" ht="15.75" x14ac:dyDescent="0.3">
      <c r="A1534" s="12" t="str">
        <f>HYPERLINK("https://parts-sales.ru/parts/MAN/51081530058","51.08153-0058")</f>
        <v>51.08153-0058</v>
      </c>
      <c r="B1534" s="12" t="str">
        <f>HYPERLINK("https://parts-sales.ru/parts/MAN/51081530058","Выпускной трубопровод")</f>
        <v>Выпускной трубопровод</v>
      </c>
      <c r="C1534" s="3" t="s">
        <v>17</v>
      </c>
      <c r="D1534" s="4">
        <v>28986</v>
      </c>
      <c r="E1534" s="4">
        <v>4415</v>
      </c>
      <c r="F1534" s="8">
        <v>0.85</v>
      </c>
      <c r="H1534" s="11"/>
      <c r="I1534" s="11"/>
      <c r="J1534" s="11"/>
    </row>
    <row r="1535" spans="1:10" ht="15.75" x14ac:dyDescent="0.3">
      <c r="A1535" s="13" t="str">
        <f>HYPERLINK("https://parts-sales.ru/parts/MAN/51089010027","51.08901-0027")</f>
        <v>51.08901-0027</v>
      </c>
      <c r="B1535" s="13" t="str">
        <f>HYPERLINK("https://parts-sales.ru/parts/MAN/51089010027","Уплотн. выпускного коллектора без асбест")</f>
        <v>Уплотн. выпускного коллектора без асбест</v>
      </c>
      <c r="C1535" s="5" t="s">
        <v>17</v>
      </c>
      <c r="D1535" s="6">
        <v>1549.2</v>
      </c>
      <c r="E1535" s="6">
        <v>371</v>
      </c>
      <c r="F1535" s="9">
        <v>0.76</v>
      </c>
      <c r="H1535" s="11"/>
      <c r="I1535" s="11"/>
      <c r="J1535" s="11"/>
    </row>
    <row r="1536" spans="1:10" ht="15.75" x14ac:dyDescent="0.3">
      <c r="A1536" s="12" t="str">
        <f>HYPERLINK("https://parts-sales.ru/parts/MAN/51089010096","51.08901-0096")</f>
        <v>51.08901-0096</v>
      </c>
      <c r="B1536" s="12" t="str">
        <f>HYPERLINK("https://parts-sales.ru/parts/MAN/51089010096","Уплотнение")</f>
        <v>Уплотнение</v>
      </c>
      <c r="C1536" s="3" t="s">
        <v>17</v>
      </c>
      <c r="D1536" s="4">
        <v>1314</v>
      </c>
      <c r="E1536" s="4">
        <v>404</v>
      </c>
      <c r="F1536" s="8">
        <v>0.69</v>
      </c>
      <c r="H1536" s="11"/>
      <c r="I1536" s="11"/>
      <c r="J1536" s="11"/>
    </row>
    <row r="1537" spans="1:10" ht="15.75" x14ac:dyDescent="0.3">
      <c r="A1537" s="13" t="str">
        <f>HYPERLINK("https://parts-sales.ru/parts/MAN/51089010114","51.08901-0114")</f>
        <v>51.08901-0114</v>
      </c>
      <c r="B1537" s="13" t="str">
        <f>HYPERLINK("https://parts-sales.ru/parts/MAN/51089010114","Уплотнение")</f>
        <v>Уплотнение</v>
      </c>
      <c r="C1537" s="5" t="s">
        <v>17</v>
      </c>
      <c r="D1537" s="6">
        <v>4322.3999999999996</v>
      </c>
      <c r="E1537" s="6">
        <v>915</v>
      </c>
      <c r="F1537" s="9">
        <v>0.79</v>
      </c>
      <c r="H1537" s="11"/>
      <c r="I1537" s="11"/>
      <c r="J1537" s="11"/>
    </row>
    <row r="1538" spans="1:10" ht="15.75" x14ac:dyDescent="0.3">
      <c r="A1538" s="12" t="str">
        <f>HYPERLINK("https://parts-sales.ru/parts/MAN/51089010115","51.08901-0115")</f>
        <v>51.08901-0115</v>
      </c>
      <c r="B1538" s="12" t="str">
        <f>HYPERLINK("https://parts-sales.ru/parts/MAN/51089010115","Уплотнение")</f>
        <v>Уплотнение</v>
      </c>
      <c r="C1538" s="3" t="s">
        <v>17</v>
      </c>
      <c r="D1538" s="4">
        <v>2046</v>
      </c>
      <c r="E1538" s="4">
        <v>400</v>
      </c>
      <c r="F1538" s="8">
        <v>0.8</v>
      </c>
      <c r="H1538" s="11"/>
      <c r="I1538" s="11"/>
      <c r="J1538" s="11"/>
    </row>
    <row r="1539" spans="1:10" ht="15.75" x14ac:dyDescent="0.3">
      <c r="A1539" s="13" t="str">
        <f>HYPERLINK("https://parts-sales.ru/parts/MAN/51089010117","51.08901-0117")</f>
        <v>51.08901-0117</v>
      </c>
      <c r="B1539" s="13" t="str">
        <f>HYPERLINK("https://parts-sales.ru/parts/MAN/51089010117","Уплотнение")</f>
        <v>Уплотнение</v>
      </c>
      <c r="C1539" s="5" t="s">
        <v>17</v>
      </c>
      <c r="D1539" s="6">
        <v>1767.6</v>
      </c>
      <c r="E1539" s="6">
        <v>374</v>
      </c>
      <c r="F1539" s="9">
        <v>0.79</v>
      </c>
      <c r="H1539" s="11"/>
      <c r="I1539" s="11"/>
      <c r="J1539" s="11"/>
    </row>
    <row r="1540" spans="1:10" ht="15.75" x14ac:dyDescent="0.3">
      <c r="A1540" s="12" t="str">
        <f>HYPERLINK("https://parts-sales.ru/parts/MAN/51089010121","51.08901-0121")</f>
        <v>51.08901-0121</v>
      </c>
      <c r="B1540" s="12" t="str">
        <f>HYPERLINK("https://parts-sales.ru/parts/MAN/51089010121","Уплотнение")</f>
        <v>Уплотнение</v>
      </c>
      <c r="C1540" s="3" t="s">
        <v>17</v>
      </c>
      <c r="D1540" s="4">
        <v>2498.4</v>
      </c>
      <c r="E1540" s="4">
        <v>551</v>
      </c>
      <c r="F1540" s="8">
        <v>0.78</v>
      </c>
      <c r="H1540" s="11"/>
      <c r="I1540" s="11"/>
      <c r="J1540" s="11"/>
    </row>
    <row r="1541" spans="1:10" ht="15.75" x14ac:dyDescent="0.3">
      <c r="A1541" s="13" t="str">
        <f>HYPERLINK("https://parts-sales.ru/parts/MAN/51089010124","51.08901-0124")</f>
        <v>51.08901-0124</v>
      </c>
      <c r="B1541" s="13" t="str">
        <f>HYPERLINK("https://parts-sales.ru/parts/MAN/51089010124","Уплотнение")</f>
        <v>Уплотнение</v>
      </c>
      <c r="C1541" s="5" t="s">
        <v>17</v>
      </c>
      <c r="D1541" s="6">
        <v>1527.6</v>
      </c>
      <c r="E1541" s="6">
        <v>309</v>
      </c>
      <c r="F1541" s="9">
        <v>0.8</v>
      </c>
      <c r="H1541" s="11"/>
      <c r="I1541" s="11"/>
      <c r="J1541" s="11"/>
    </row>
    <row r="1542" spans="1:10" ht="15.75" x14ac:dyDescent="0.3">
      <c r="A1542" s="12" t="str">
        <f>HYPERLINK("https://parts-sales.ru/parts/MAN/51089010135","51.08901-0135")</f>
        <v>51.08901-0135</v>
      </c>
      <c r="B1542" s="12" t="str">
        <f>HYPERLINK("https://parts-sales.ru/parts/MAN/51089010135","Уплотнение Модуль рецир-ции отраб. газов")</f>
        <v>Уплотнение Модуль рецир-ции отраб. газов</v>
      </c>
      <c r="C1542" s="3" t="s">
        <v>17</v>
      </c>
      <c r="D1542" s="4">
        <v>7635.6</v>
      </c>
      <c r="E1542" s="4">
        <v>2306</v>
      </c>
      <c r="F1542" s="8">
        <v>0.7</v>
      </c>
      <c r="H1542" s="11"/>
      <c r="I1542" s="11"/>
      <c r="J1542" s="11"/>
    </row>
    <row r="1543" spans="1:10" ht="15.75" x14ac:dyDescent="0.3">
      <c r="A1543" s="13" t="str">
        <f>HYPERLINK("https://parts-sales.ru/parts/MAN/51089010150","51.08901-0150")</f>
        <v>51.08901-0150</v>
      </c>
      <c r="B1543" s="13" t="str">
        <f>HYPERLINK("https://parts-sales.ru/parts/MAN/51089010150","Уплотн. газотурб. нагнетателя")</f>
        <v>Уплотн. газотурб. нагнетателя</v>
      </c>
      <c r="C1543" s="5" t="s">
        <v>17</v>
      </c>
      <c r="D1543" s="6">
        <v>4472.3999999999996</v>
      </c>
      <c r="E1543" s="6">
        <v>754</v>
      </c>
      <c r="F1543" s="9">
        <v>0.83</v>
      </c>
      <c r="H1543" s="11"/>
      <c r="I1543" s="11"/>
      <c r="J1543" s="11"/>
    </row>
    <row r="1544" spans="1:10" ht="15.75" x14ac:dyDescent="0.3">
      <c r="A1544" s="12" t="str">
        <f>HYPERLINK("https://parts-sales.ru/parts/MAN/51089010152","51.08901-0152")</f>
        <v>51.08901-0152</v>
      </c>
      <c r="B1544" s="12" t="str">
        <f>HYPERLINK("https://parts-sales.ru/parts/MAN/51089010152","Уплотн. выпускного коллектора")</f>
        <v>Уплотн. выпускного коллектора</v>
      </c>
      <c r="C1544" s="3" t="s">
        <v>17</v>
      </c>
      <c r="D1544" s="4">
        <v>1828.66</v>
      </c>
      <c r="E1544" s="4">
        <v>853</v>
      </c>
      <c r="F1544" s="8">
        <v>0.53</v>
      </c>
      <c r="H1544" s="11"/>
      <c r="I1544" s="11"/>
      <c r="J1544" s="11"/>
    </row>
    <row r="1545" spans="1:10" ht="15.75" x14ac:dyDescent="0.3">
      <c r="A1545" s="13" t="str">
        <f>HYPERLINK("https://parts-sales.ru/parts/MAN/51089010155","51.08901-0155")</f>
        <v>51.08901-0155</v>
      </c>
      <c r="B1545" s="13" t="str">
        <f>HYPERLINK("https://parts-sales.ru/parts/MAN/51089010155","Уплотн. выпускного коллектора")</f>
        <v>Уплотн. выпускного коллектора</v>
      </c>
      <c r="C1545" s="5" t="s">
        <v>17</v>
      </c>
      <c r="D1545" s="6">
        <v>1549.2</v>
      </c>
      <c r="E1545" s="6">
        <v>342</v>
      </c>
      <c r="F1545" s="9">
        <v>0.78</v>
      </c>
      <c r="H1545" s="11"/>
      <c r="I1545" s="11"/>
      <c r="J1545" s="11"/>
    </row>
    <row r="1546" spans="1:10" ht="15.75" x14ac:dyDescent="0.3">
      <c r="A1546" s="12" t="str">
        <f>HYPERLINK("https://parts-sales.ru/parts/MAN/51089010157","51.08901-0157")</f>
        <v>51.08901-0157</v>
      </c>
      <c r="B1546" s="12" t="str">
        <f>HYPERLINK("https://parts-sales.ru/parts/MAN/51089010157","Уплотнение")</f>
        <v>Уплотнение</v>
      </c>
      <c r="C1546" s="3" t="s">
        <v>17</v>
      </c>
      <c r="D1546" s="4">
        <v>828</v>
      </c>
      <c r="E1546" s="4">
        <v>211</v>
      </c>
      <c r="F1546" s="8">
        <v>0.75</v>
      </c>
      <c r="H1546" s="11"/>
      <c r="I1546" s="11"/>
      <c r="J1546" s="11"/>
    </row>
    <row r="1547" spans="1:10" ht="15.75" x14ac:dyDescent="0.3">
      <c r="A1547" s="13" t="str">
        <f>HYPERLINK("https://parts-sales.ru/parts/MAN/51089010172","51.08901-0172")</f>
        <v>51.08901-0172</v>
      </c>
      <c r="B1547" s="13" t="str">
        <f>HYPERLINK("https://parts-sales.ru/parts/MAN/51089010172","Уплотнение")</f>
        <v>Уплотнение</v>
      </c>
      <c r="C1547" s="5" t="s">
        <v>17</v>
      </c>
      <c r="D1547" s="6">
        <v>6481.2</v>
      </c>
      <c r="E1547" s="6">
        <v>1130</v>
      </c>
      <c r="F1547" s="9">
        <v>0.83</v>
      </c>
      <c r="H1547" s="11"/>
      <c r="I1547" s="11"/>
      <c r="J1547" s="11"/>
    </row>
    <row r="1548" spans="1:10" ht="15.75" x14ac:dyDescent="0.3">
      <c r="A1548" s="12" t="str">
        <f>HYPERLINK("https://parts-sales.ru/parts/MAN/51089010200","51.08901-0200")</f>
        <v>51.08901-0200</v>
      </c>
      <c r="B1548" s="12" t="str">
        <f>HYPERLINK("https://parts-sales.ru/parts/MAN/51089010200","Уплотн. выпускного коллектора")</f>
        <v>Уплотн. выпускного коллектора</v>
      </c>
      <c r="C1548" s="3" t="s">
        <v>17</v>
      </c>
      <c r="D1548" s="4">
        <v>6753.6</v>
      </c>
      <c r="E1548" s="4">
        <v>2180</v>
      </c>
      <c r="F1548" s="8">
        <v>0.68</v>
      </c>
      <c r="H1548" s="11"/>
      <c r="I1548" s="11"/>
      <c r="J1548" s="11"/>
    </row>
    <row r="1549" spans="1:10" ht="15.75" x14ac:dyDescent="0.3">
      <c r="A1549" s="13" t="str">
        <f>HYPERLINK("https://parts-sales.ru/parts/MAN/51089010214","51.08901-0214")</f>
        <v>51.08901-0214</v>
      </c>
      <c r="B1549" s="13" t="str">
        <f>HYPERLINK("https://parts-sales.ru/parts/MAN/51089010214","Уплотнение")</f>
        <v>Уплотнение</v>
      </c>
      <c r="C1549" s="5" t="s">
        <v>17</v>
      </c>
      <c r="D1549" s="6">
        <v>4825.01</v>
      </c>
      <c r="E1549" s="6">
        <v>2015</v>
      </c>
      <c r="F1549" s="9">
        <v>0.57999999999999996</v>
      </c>
      <c r="H1549" s="11"/>
      <c r="I1549" s="11"/>
      <c r="J1549" s="11"/>
    </row>
    <row r="1550" spans="1:10" ht="15.75" x14ac:dyDescent="0.3">
      <c r="A1550" s="12" t="str">
        <f>HYPERLINK("https://parts-sales.ru/parts/MAN/51089010229","51.08901-0229")</f>
        <v>51.08901-0229</v>
      </c>
      <c r="B1550" s="12" t="str">
        <f>HYPERLINK("https://parts-sales.ru/parts/MAN/51089010229","Уплотнение при системе рециркуляции ОГ")</f>
        <v>Уплотнение при системе рециркуляции ОГ</v>
      </c>
      <c r="C1550" s="3" t="s">
        <v>17</v>
      </c>
      <c r="D1550" s="4">
        <v>11265.6</v>
      </c>
      <c r="E1550" s="4">
        <v>3130</v>
      </c>
      <c r="F1550" s="8">
        <v>0.72</v>
      </c>
      <c r="H1550" s="11"/>
      <c r="I1550" s="11"/>
      <c r="J1550" s="11"/>
    </row>
    <row r="1551" spans="1:10" ht="15.75" x14ac:dyDescent="0.3">
      <c r="A1551" s="13" t="str">
        <f>HYPERLINK("https://parts-sales.ru/parts/MAN/51089010273","51.08901-0273")</f>
        <v>51.08901-0273</v>
      </c>
      <c r="B1551" s="13" t="str">
        <f>HYPERLINK("https://parts-sales.ru/parts/MAN/51089010273","Уплотн. выпускного коллектора")</f>
        <v>Уплотн. выпускного коллектора</v>
      </c>
      <c r="C1551" s="5" t="s">
        <v>17</v>
      </c>
      <c r="D1551" s="6">
        <v>472.8</v>
      </c>
      <c r="E1551" s="6">
        <v>293</v>
      </c>
      <c r="F1551" s="9">
        <v>0.38</v>
      </c>
      <c r="H1551" s="11"/>
      <c r="I1551" s="11"/>
      <c r="J1551" s="11"/>
    </row>
    <row r="1552" spans="1:10" ht="15.75" x14ac:dyDescent="0.3">
      <c r="A1552" s="12" t="str">
        <f>HYPERLINK("https://parts-sales.ru/parts/MAN/51089020139","51.08902-0139")</f>
        <v>51.08902-0139</v>
      </c>
      <c r="B1552" s="12" t="str">
        <f>HYPERLINK("https://parts-sales.ru/parts/MAN/51089020139","Уплотн. трубы д. забора возд. без асбест")</f>
        <v>Уплотн. трубы д. забора возд. без асбест</v>
      </c>
      <c r="C1552" s="3" t="s">
        <v>17</v>
      </c>
      <c r="D1552" s="4">
        <v>2967.6</v>
      </c>
      <c r="E1552" s="4">
        <v>682</v>
      </c>
      <c r="F1552" s="8">
        <v>0.77</v>
      </c>
      <c r="H1552" s="11"/>
      <c r="I1552" s="11"/>
      <c r="J1552" s="11"/>
    </row>
    <row r="1553" spans="1:10" ht="15.75" x14ac:dyDescent="0.3">
      <c r="A1553" s="13" t="str">
        <f>HYPERLINK("https://parts-sales.ru/parts/MAN/51089020179","51.08902-0179")</f>
        <v>51.08902-0179</v>
      </c>
      <c r="B1553" s="13" t="str">
        <f>HYPERLINK("https://parts-sales.ru/parts/MAN/51089020179","Уплотн. трубы д. забора возд. без асбест")</f>
        <v>Уплотн. трубы д. забора возд. без асбест</v>
      </c>
      <c r="C1553" s="5" t="s">
        <v>17</v>
      </c>
      <c r="D1553" s="6">
        <v>1225.2</v>
      </c>
      <c r="E1553" s="6">
        <v>275</v>
      </c>
      <c r="F1553" s="9">
        <v>0.78</v>
      </c>
      <c r="H1553" s="11"/>
      <c r="I1553" s="11"/>
      <c r="J1553" s="11"/>
    </row>
    <row r="1554" spans="1:10" ht="15.75" x14ac:dyDescent="0.3">
      <c r="A1554" s="12" t="str">
        <f>HYPERLINK("https://parts-sales.ru/parts/MAN/51089020188","51.08902-0188")</f>
        <v>51.08902-0188</v>
      </c>
      <c r="B1554" s="12" t="str">
        <f>HYPERLINK("https://parts-sales.ru/parts/MAN/51089020188","Уплотн. трубы д. забора возд.")</f>
        <v>Уплотн. трубы д. забора возд.</v>
      </c>
      <c r="C1554" s="3" t="s">
        <v>17</v>
      </c>
      <c r="D1554" s="4">
        <v>4472.3999999999996</v>
      </c>
      <c r="E1554" s="4">
        <v>1078</v>
      </c>
      <c r="F1554" s="8">
        <v>0.76</v>
      </c>
      <c r="H1554" s="11"/>
      <c r="I1554" s="11"/>
      <c r="J1554" s="11"/>
    </row>
    <row r="1555" spans="1:10" ht="15.75" x14ac:dyDescent="0.3">
      <c r="A1555" s="13" t="str">
        <f>HYPERLINK("https://parts-sales.ru/parts/MAN/51089020194","51.08902-0194")</f>
        <v>51.08902-0194</v>
      </c>
      <c r="B1555" s="13" t="str">
        <f>HYPERLINK("https://parts-sales.ru/parts/MAN/51089020194","Уплотн. трубы д. забора возд.")</f>
        <v>Уплотн. трубы д. забора возд.</v>
      </c>
      <c r="C1555" s="5" t="s">
        <v>17</v>
      </c>
      <c r="D1555" s="6">
        <v>2491.1999999999998</v>
      </c>
      <c r="E1555" s="6">
        <v>468</v>
      </c>
      <c r="F1555" s="9">
        <v>0.81</v>
      </c>
      <c r="H1555" s="11"/>
      <c r="I1555" s="11"/>
      <c r="J1555" s="11"/>
    </row>
    <row r="1556" spans="1:10" ht="15.75" x14ac:dyDescent="0.3">
      <c r="A1556" s="12" t="str">
        <f>HYPERLINK("https://parts-sales.ru/parts/MAN/51089020202","51.08902-0202")</f>
        <v>51.08902-0202</v>
      </c>
      <c r="B1556" s="12" t="str">
        <f>HYPERLINK("https://parts-sales.ru/parts/MAN/51089020202","Уплотн. трубы д. забора возд.")</f>
        <v>Уплотн. трубы д. забора возд.</v>
      </c>
      <c r="C1556" s="3" t="s">
        <v>17</v>
      </c>
      <c r="D1556" s="4">
        <v>5504.4</v>
      </c>
      <c r="E1556" s="4">
        <v>1278</v>
      </c>
      <c r="F1556" s="8">
        <v>0.77</v>
      </c>
      <c r="H1556" s="11"/>
      <c r="I1556" s="11"/>
      <c r="J1556" s="11"/>
    </row>
    <row r="1557" spans="1:10" ht="15.75" x14ac:dyDescent="0.3">
      <c r="A1557" s="13" t="str">
        <f>HYPERLINK("https://parts-sales.ru/parts/MAN/51091007764","51.09100-7764")</f>
        <v>51.09100-7764</v>
      </c>
      <c r="B1557" s="13" t="str">
        <f>HYPERLINK("https://parts-sales.ru/parts/MAN/51091007764","Турбонагнетатель выхл. газов")</f>
        <v>Турбонагнетатель выхл. газов</v>
      </c>
      <c r="C1557" s="5" t="s">
        <v>17</v>
      </c>
      <c r="D1557" s="6">
        <v>159423.54999999999</v>
      </c>
      <c r="E1557" s="6">
        <v>36861</v>
      </c>
      <c r="F1557" s="9">
        <v>0.77</v>
      </c>
      <c r="H1557" s="11"/>
      <c r="I1557" s="11"/>
      <c r="J1557" s="11"/>
    </row>
    <row r="1558" spans="1:10" ht="15.75" x14ac:dyDescent="0.3">
      <c r="A1558" s="12" t="str">
        <f>HYPERLINK("https://parts-sales.ru/parts/MAN/51091017025","51.09101-7025")</f>
        <v>51.09101-7025</v>
      </c>
      <c r="B1558" s="12" t="str">
        <f>HYPERLINK("https://parts-sales.ru/parts/MAN/51091017025","Турбонагнетатель выхл. газов")</f>
        <v>Турбонагнетатель выхл. газов</v>
      </c>
      <c r="C1558" s="3" t="s">
        <v>17</v>
      </c>
      <c r="D1558" s="4">
        <v>139495.20000000001</v>
      </c>
      <c r="E1558" s="4">
        <v>38013</v>
      </c>
      <c r="F1558" s="8">
        <v>0.73</v>
      </c>
      <c r="H1558" s="11"/>
      <c r="I1558" s="11"/>
      <c r="J1558" s="11"/>
    </row>
    <row r="1559" spans="1:10" ht="15.75" x14ac:dyDescent="0.3">
      <c r="A1559" s="13" t="str">
        <f>HYPERLINK("https://parts-sales.ru/parts/MAN/51091060005","51.09106-0005")</f>
        <v>51.09106-0005</v>
      </c>
      <c r="B1559" s="13" t="str">
        <f>HYPERLINK("https://parts-sales.ru/parts/MAN/51091060005","Клапан")</f>
        <v>Клапан</v>
      </c>
      <c r="C1559" s="5" t="s">
        <v>17</v>
      </c>
      <c r="D1559" s="6">
        <v>36784.800000000003</v>
      </c>
      <c r="E1559" s="6">
        <v>7472</v>
      </c>
      <c r="F1559" s="9">
        <v>0.8</v>
      </c>
      <c r="H1559" s="11"/>
      <c r="I1559" s="11"/>
      <c r="J1559" s="11"/>
    </row>
    <row r="1560" spans="1:10" ht="15.75" x14ac:dyDescent="0.3">
      <c r="A1560" s="12" t="str">
        <f>HYPERLINK("https://parts-sales.ru/parts/MAN/51091415034","51.09141-5034")</f>
        <v>51.09141-5034</v>
      </c>
      <c r="B1560" s="12" t="str">
        <f>HYPERLINK("https://parts-sales.ru/parts/MAN/51091415034","Теплозащитный щиток")</f>
        <v>Теплозащитный щиток</v>
      </c>
      <c r="C1560" s="3" t="s">
        <v>17</v>
      </c>
      <c r="D1560" s="4">
        <v>25615.200000000001</v>
      </c>
      <c r="E1560" s="4">
        <v>5252</v>
      </c>
      <c r="F1560" s="8">
        <v>0.79</v>
      </c>
      <c r="H1560" s="11"/>
      <c r="I1560" s="11"/>
      <c r="J1560" s="11"/>
    </row>
    <row r="1561" spans="1:10" ht="15.75" x14ac:dyDescent="0.3">
      <c r="A1561" s="13" t="str">
        <f>HYPERLINK("https://parts-sales.ru/parts/MAN/51094110959","51.09411-0959")</f>
        <v>51.09411-0959</v>
      </c>
      <c r="B1561" s="13" t="str">
        <f>HYPERLINK("https://parts-sales.ru/parts/MAN/51094110959","Отвод наддувочного воздуха")</f>
        <v>Отвод наддувочного воздуха</v>
      </c>
      <c r="C1561" s="5" t="s">
        <v>17</v>
      </c>
      <c r="D1561" s="6">
        <v>25602</v>
      </c>
      <c r="E1561" s="6">
        <v>6341</v>
      </c>
      <c r="F1561" s="9">
        <v>0.75</v>
      </c>
      <c r="H1561" s="11"/>
      <c r="I1561" s="11"/>
      <c r="J1561" s="11"/>
    </row>
    <row r="1562" spans="1:10" ht="15.75" x14ac:dyDescent="0.3">
      <c r="A1562" s="12" t="str">
        <f>HYPERLINK("https://parts-sales.ru/parts/MAN/51094115181","51.09411-5181")</f>
        <v>51.09411-5181</v>
      </c>
      <c r="B1562" s="12" t="str">
        <f>HYPERLINK("https://parts-sales.ru/parts/MAN/51094115181","Обводной трубопровод")</f>
        <v>Обводной трубопровод</v>
      </c>
      <c r="C1562" s="3" t="s">
        <v>17</v>
      </c>
      <c r="D1562" s="4">
        <v>6694.8</v>
      </c>
      <c r="E1562" s="4">
        <v>590</v>
      </c>
      <c r="F1562" s="8">
        <v>0.91</v>
      </c>
      <c r="H1562" s="11"/>
      <c r="I1562" s="11"/>
      <c r="J1562" s="11"/>
    </row>
    <row r="1563" spans="1:10" ht="15.75" x14ac:dyDescent="0.3">
      <c r="A1563" s="13" t="str">
        <f>HYPERLINK("https://parts-sales.ru/parts/MAN/51094120503","51.09412-0503")</f>
        <v>51.09412-0503</v>
      </c>
      <c r="B1563" s="13" t="str">
        <f>HYPERLINK("https://parts-sales.ru/parts/MAN/51094120503","Труба наддувочного воздуха F L15")</f>
        <v>Труба наддувочного воздуха F L15</v>
      </c>
      <c r="C1563" s="5" t="s">
        <v>17</v>
      </c>
      <c r="D1563" s="6">
        <v>26281.31</v>
      </c>
      <c r="E1563" s="6">
        <v>17600</v>
      </c>
      <c r="F1563" s="9">
        <v>0.33</v>
      </c>
      <c r="H1563" s="11"/>
      <c r="I1563" s="11"/>
      <c r="J1563" s="11"/>
    </row>
    <row r="1564" spans="1:10" ht="15.75" x14ac:dyDescent="0.3">
      <c r="A1564" s="12" t="str">
        <f>HYPERLINK("https://parts-sales.ru/parts/MAN/51094136011","51.09413-6011")</f>
        <v>51.09413-6011</v>
      </c>
      <c r="B1564" s="12" t="str">
        <f>HYPERLINK("https://parts-sales.ru/parts/MAN/51094136011","Клапан для")</f>
        <v>Клапан для</v>
      </c>
      <c r="C1564" s="3" t="s">
        <v>17</v>
      </c>
      <c r="D1564" s="4">
        <v>13285.2</v>
      </c>
      <c r="E1564" s="4">
        <v>3085</v>
      </c>
      <c r="F1564" s="8">
        <v>0.77</v>
      </c>
      <c r="H1564" s="11"/>
      <c r="I1564" s="11"/>
      <c r="J1564" s="11"/>
    </row>
    <row r="1565" spans="1:10" ht="15.75" x14ac:dyDescent="0.3">
      <c r="A1565" s="13" t="str">
        <f>HYPERLINK("https://parts-sales.ru/parts/MAN/51099010051","51.09901-0051")</f>
        <v>51.09901-0051</v>
      </c>
      <c r="B1565" s="13" t="str">
        <f>HYPERLINK("https://parts-sales.ru/parts/MAN/51099010051","Уплотнение")</f>
        <v>Уплотнение</v>
      </c>
      <c r="C1565" s="5" t="s">
        <v>17</v>
      </c>
      <c r="D1565" s="6">
        <v>2184</v>
      </c>
      <c r="E1565" s="6">
        <v>498</v>
      </c>
      <c r="F1565" s="9">
        <v>0.77</v>
      </c>
      <c r="H1565" s="11"/>
      <c r="I1565" s="11"/>
      <c r="J1565" s="11"/>
    </row>
    <row r="1566" spans="1:10" ht="15.75" x14ac:dyDescent="0.3">
      <c r="A1566" s="12" t="str">
        <f>HYPERLINK("https://parts-sales.ru/parts/MAN/51099010071","51.09901-0071")</f>
        <v>51.09901-0071</v>
      </c>
      <c r="B1566" s="12" t="str">
        <f>HYPERLINK("https://parts-sales.ru/parts/MAN/51099010071","Уплотнение")</f>
        <v>Уплотнение</v>
      </c>
      <c r="C1566" s="3" t="s">
        <v>17</v>
      </c>
      <c r="D1566" s="4">
        <v>14343.6</v>
      </c>
      <c r="E1566" s="4">
        <v>3312</v>
      </c>
      <c r="F1566" s="8">
        <v>0.77</v>
      </c>
      <c r="H1566" s="11"/>
      <c r="I1566" s="11"/>
      <c r="J1566" s="11"/>
    </row>
    <row r="1567" spans="1:10" ht="15.75" x14ac:dyDescent="0.3">
      <c r="A1567" s="13" t="str">
        <f>HYPERLINK("https://parts-sales.ru/parts/MAN/51099030003","51.09903-0003")</f>
        <v>51.09903-0003</v>
      </c>
      <c r="B1567" s="13" t="str">
        <f>HYPERLINK("https://parts-sales.ru/parts/MAN/51099030003","Уплотн. выпускного коллектора без асбест")</f>
        <v>Уплотн. выпускного коллектора без асбест</v>
      </c>
      <c r="C1567" s="5" t="s">
        <v>17</v>
      </c>
      <c r="D1567" s="6">
        <v>13810.8</v>
      </c>
      <c r="E1567" s="6">
        <v>1685</v>
      </c>
      <c r="F1567" s="9">
        <v>0.88</v>
      </c>
      <c r="H1567" s="11"/>
      <c r="I1567" s="11"/>
      <c r="J1567" s="11"/>
    </row>
    <row r="1568" spans="1:10" ht="15.75" x14ac:dyDescent="0.3">
      <c r="A1568" s="12" t="str">
        <f>HYPERLINK("https://parts-sales.ru/parts/MAN/51101006071","51.10100-6071")</f>
        <v>51.10100-6071</v>
      </c>
      <c r="B1568" s="12" t="str">
        <f>HYPERLINK("https://parts-sales.ru/parts/MAN/51101006071","Корпус форсунки")</f>
        <v>Корпус форсунки</v>
      </c>
      <c r="C1568" s="3" t="s">
        <v>17</v>
      </c>
      <c r="D1568" s="4">
        <v>75297.600000000006</v>
      </c>
      <c r="E1568" s="4">
        <v>11868</v>
      </c>
      <c r="F1568" s="8">
        <v>0.84</v>
      </c>
      <c r="H1568" s="11"/>
      <c r="I1568" s="11"/>
      <c r="J1568" s="11"/>
    </row>
    <row r="1569" spans="1:10" ht="15.75" x14ac:dyDescent="0.3">
      <c r="A1569" s="13" t="str">
        <f>HYPERLINK("https://parts-sales.ru/parts/MAN/51101007400","51.10100-7400")</f>
        <v>51.10100-7400</v>
      </c>
      <c r="B1569" s="13" t="str">
        <f>HYPERLINK("https://parts-sales.ru/parts/MAN/51101007400","Корпус форсунки")</f>
        <v>Корпус форсунки</v>
      </c>
      <c r="C1569" s="5" t="s">
        <v>17</v>
      </c>
      <c r="D1569" s="6">
        <v>28055.3</v>
      </c>
      <c r="E1569" s="6">
        <v>13092</v>
      </c>
      <c r="F1569" s="9">
        <v>0.53</v>
      </c>
      <c r="H1569" s="11"/>
      <c r="I1569" s="11"/>
      <c r="J1569" s="11"/>
    </row>
    <row r="1570" spans="1:10" ht="15.75" x14ac:dyDescent="0.3">
      <c r="A1570" s="12" t="str">
        <f>HYPERLINK("https://parts-sales.ru/parts/MAN/51101009086","51.10100-9086")</f>
        <v>51.10100-9086</v>
      </c>
      <c r="B1570" s="12" t="str">
        <f>HYPERLINK("https://parts-sales.ru/parts/MAN/51101009086","Инжектор")</f>
        <v>Инжектор</v>
      </c>
      <c r="C1570" s="3" t="s">
        <v>17</v>
      </c>
      <c r="D1570" s="4">
        <v>107686.8</v>
      </c>
      <c r="E1570" s="4">
        <v>25839</v>
      </c>
      <c r="F1570" s="8">
        <v>0.76</v>
      </c>
      <c r="H1570" s="11"/>
      <c r="I1570" s="11"/>
      <c r="J1570" s="11"/>
    </row>
    <row r="1571" spans="1:10" ht="15.75" x14ac:dyDescent="0.3">
      <c r="A1571" s="13" t="str">
        <f>HYPERLINK("https://parts-sales.ru/parts/MAN/51101020252","51.10102-0252")</f>
        <v>51.10102-0252</v>
      </c>
      <c r="B1571" s="13" t="str">
        <f>HYPERLINK("https://parts-sales.ru/parts/MAN/51101020252","Впрыскивающая форсунка")</f>
        <v>Впрыскивающая форсунка</v>
      </c>
      <c r="C1571" s="5" t="s">
        <v>17</v>
      </c>
      <c r="D1571" s="6">
        <v>16978.8</v>
      </c>
      <c r="E1571" s="6">
        <v>4577</v>
      </c>
      <c r="F1571" s="9">
        <v>0.73</v>
      </c>
      <c r="H1571" s="11"/>
      <c r="I1571" s="11"/>
      <c r="J1571" s="11"/>
    </row>
    <row r="1572" spans="1:10" ht="15.75" x14ac:dyDescent="0.3">
      <c r="A1572" s="12" t="str">
        <f>HYPERLINK("https://parts-sales.ru/parts/MAN/51101040047","51.10104-0047")</f>
        <v>51.10104-0047</v>
      </c>
      <c r="B1572" s="12" t="str">
        <f>HYPERLINK("https://parts-sales.ru/parts/MAN/51101040047","Сжатая полка профиля")</f>
        <v>Сжатая полка профиля</v>
      </c>
      <c r="C1572" s="3" t="s">
        <v>17</v>
      </c>
      <c r="D1572" s="4">
        <v>1975.2</v>
      </c>
      <c r="E1572" s="4">
        <v>222</v>
      </c>
      <c r="F1572" s="8">
        <v>0.89</v>
      </c>
      <c r="H1572" s="11"/>
      <c r="I1572" s="11"/>
      <c r="J1572" s="11"/>
    </row>
    <row r="1573" spans="1:10" ht="15.75" x14ac:dyDescent="0.3">
      <c r="A1573" s="13" t="str">
        <f>HYPERLINK("https://parts-sales.ru/parts/MAN/51103006281","51.10300-6281")</f>
        <v>51.10300-6281</v>
      </c>
      <c r="B1573" s="13" t="str">
        <f>HYPERLINK("https://parts-sales.ru/parts/MAN/51103006281","Нагнетательная проводка цилиндр 1-2")</f>
        <v>Нагнетательная проводка цилиндр 1-2</v>
      </c>
      <c r="C1573" s="5" t="s">
        <v>17</v>
      </c>
      <c r="D1573" s="6">
        <v>24285.42</v>
      </c>
      <c r="E1573" s="6">
        <v>14592</v>
      </c>
      <c r="F1573" s="9">
        <v>0.4</v>
      </c>
      <c r="H1573" s="11"/>
      <c r="I1573" s="11"/>
      <c r="J1573" s="11"/>
    </row>
    <row r="1574" spans="1:10" ht="15.75" x14ac:dyDescent="0.3">
      <c r="A1574" s="12" t="str">
        <f>HYPERLINK("https://parts-sales.ru/parts/MAN/51103016164","51.10301-6164")</f>
        <v>51.10301-6164</v>
      </c>
      <c r="B1574" s="12" t="str">
        <f>HYPERLINK("https://parts-sales.ru/parts/MAN/51103016164","Штуцер топливный 1800 Bar")</f>
        <v>Штуцер топливный 1800 Bar</v>
      </c>
      <c r="C1574" s="3" t="s">
        <v>17</v>
      </c>
      <c r="D1574" s="4">
        <v>13328.86</v>
      </c>
      <c r="E1574" s="4">
        <v>8899</v>
      </c>
      <c r="F1574" s="8">
        <v>0.33</v>
      </c>
      <c r="H1574" s="11"/>
      <c r="I1574" s="11"/>
      <c r="J1574" s="11"/>
    </row>
    <row r="1575" spans="1:10" ht="15.75" x14ac:dyDescent="0.3">
      <c r="A1575" s="13" t="str">
        <f>HYPERLINK("https://parts-sales.ru/parts/MAN/51103016176","51.10301-6176")</f>
        <v>51.10301-6176</v>
      </c>
      <c r="B1575" s="13" t="str">
        <f>HYPERLINK("https://parts-sales.ru/parts/MAN/51103016176","Нагнетательная проводка Цилиндры 1-3")</f>
        <v>Нагнетательная проводка Цилиндры 1-3</v>
      </c>
      <c r="C1575" s="5" t="s">
        <v>17</v>
      </c>
      <c r="D1575" s="6">
        <v>77400</v>
      </c>
      <c r="E1575" s="6">
        <v>11476</v>
      </c>
      <c r="F1575" s="9">
        <v>0.85</v>
      </c>
      <c r="H1575" s="11"/>
      <c r="I1575" s="11"/>
      <c r="J1575" s="11"/>
    </row>
    <row r="1576" spans="1:10" ht="15.75" x14ac:dyDescent="0.3">
      <c r="A1576" s="12" t="str">
        <f>HYPERLINK("https://parts-sales.ru/parts/MAN/51103030999","51.10303-0999")</f>
        <v>51.10303-0999</v>
      </c>
      <c r="B1576" s="12" t="str">
        <f>HYPERLINK("https://parts-sales.ru/parts/MAN/51103030999","Толкающий винт")</f>
        <v>Толкающий винт</v>
      </c>
      <c r="C1576" s="3" t="s">
        <v>17</v>
      </c>
      <c r="D1576" s="4">
        <v>4597.2</v>
      </c>
      <c r="E1576" s="4">
        <v>1360</v>
      </c>
      <c r="F1576" s="8">
        <v>0.7</v>
      </c>
      <c r="H1576" s="11"/>
      <c r="I1576" s="11"/>
      <c r="J1576" s="11"/>
    </row>
    <row r="1577" spans="1:10" ht="15.75" x14ac:dyDescent="0.3">
      <c r="A1577" s="13" t="str">
        <f>HYPERLINK("https://parts-sales.ru/parts/MAN/51103036160","51.10303-6160")</f>
        <v>51.10303-6160</v>
      </c>
      <c r="B1577" s="13" t="str">
        <f>HYPERLINK("https://parts-sales.ru/parts/MAN/51103036160","Нагнетательная проводка цилиндр 1-5")</f>
        <v>Нагнетательная проводка цилиндр 1-5</v>
      </c>
      <c r="C1577" s="5" t="s">
        <v>17</v>
      </c>
      <c r="D1577" s="6">
        <v>98458.8</v>
      </c>
      <c r="E1577" s="6">
        <v>20763</v>
      </c>
      <c r="F1577" s="9">
        <v>0.79</v>
      </c>
      <c r="H1577" s="11"/>
      <c r="I1577" s="11"/>
      <c r="J1577" s="11"/>
    </row>
    <row r="1578" spans="1:10" ht="15.75" x14ac:dyDescent="0.3">
      <c r="A1578" s="12" t="str">
        <f>HYPERLINK("https://parts-sales.ru/parts/MAN/51103040146","51.10304-0146")</f>
        <v>51.10304-0146</v>
      </c>
      <c r="B1578" s="12" t="str">
        <f>HYPERLINK("https://parts-sales.ru/parts/MAN/51103040146","Нагнетательная проводка Цилиндр 3")</f>
        <v>Нагнетательная проводка Цилиндр 3</v>
      </c>
      <c r="C1578" s="3" t="s">
        <v>17</v>
      </c>
      <c r="D1578" s="4">
        <v>19102.8</v>
      </c>
      <c r="E1578" s="4">
        <v>6851</v>
      </c>
      <c r="F1578" s="8">
        <v>0.64</v>
      </c>
      <c r="H1578" s="11"/>
      <c r="I1578" s="11"/>
      <c r="J1578" s="11"/>
    </row>
    <row r="1579" spans="1:10" ht="15.75" x14ac:dyDescent="0.3">
      <c r="A1579" s="13" t="str">
        <f>HYPERLINK("https://parts-sales.ru/parts/MAN/51103040147","51.10304-0147")</f>
        <v>51.10304-0147</v>
      </c>
      <c r="B1579" s="13" t="str">
        <f>HYPERLINK("https://parts-sales.ru/parts/MAN/51103040147","Нагнетательная проводка Цилиндр 4")</f>
        <v>Нагнетательная проводка Цилиндр 4</v>
      </c>
      <c r="C1579" s="5" t="s">
        <v>17</v>
      </c>
      <c r="D1579" s="6">
        <v>19102.8</v>
      </c>
      <c r="E1579" s="6">
        <v>6793</v>
      </c>
      <c r="F1579" s="9">
        <v>0.64</v>
      </c>
      <c r="H1579" s="11"/>
      <c r="I1579" s="11"/>
      <c r="J1579" s="11"/>
    </row>
    <row r="1580" spans="1:10" ht="15.75" x14ac:dyDescent="0.3">
      <c r="A1580" s="12" t="str">
        <f>HYPERLINK("https://parts-sales.ru/parts/MAN/51111039847","51.11103-9847")</f>
        <v>51.11103-9847</v>
      </c>
      <c r="B1580" s="12" t="str">
        <f>HYPERLINK("https://parts-sales.ru/parts/MAN/51111039847","Топлив. насос высок. давления")</f>
        <v>Топлив. насос высок. давления</v>
      </c>
      <c r="C1580" s="3" t="s">
        <v>17</v>
      </c>
      <c r="D1580" s="4">
        <v>123372.64</v>
      </c>
      <c r="E1580" s="4">
        <v>80753</v>
      </c>
      <c r="F1580" s="8">
        <v>0.35</v>
      </c>
      <c r="H1580" s="11"/>
      <c r="I1580" s="11"/>
      <c r="J1580" s="11"/>
    </row>
    <row r="1581" spans="1:10" ht="15.75" x14ac:dyDescent="0.3">
      <c r="A1581" s="13" t="str">
        <f>HYPERLINK("https://parts-sales.ru/parts/MAN/51111070030","51.11107-0030")</f>
        <v>51.11107-0030</v>
      </c>
      <c r="B1581" s="13" t="str">
        <f>HYPERLINK("https://parts-sales.ru/parts/MAN/51111070030","Перепускной клапан")</f>
        <v>Перепускной клапан</v>
      </c>
      <c r="C1581" s="5" t="s">
        <v>17</v>
      </c>
      <c r="D1581" s="6">
        <v>13438.8</v>
      </c>
      <c r="E1581" s="6">
        <v>4250</v>
      </c>
      <c r="F1581" s="9">
        <v>0.68</v>
      </c>
      <c r="H1581" s="11"/>
      <c r="I1581" s="11"/>
      <c r="J1581" s="11"/>
    </row>
    <row r="1582" spans="1:10" ht="15.75" x14ac:dyDescent="0.3">
      <c r="A1582" s="12" t="str">
        <f>HYPERLINK("https://parts-sales.ru/parts/MAN/51115360003","51.11536-0003")</f>
        <v>51.11536-0003</v>
      </c>
      <c r="B1582" s="12" t="str">
        <f>HYPERLINK("https://parts-sales.ru/parts/MAN/51115360003","Пружинная капсула")</f>
        <v>Пружинная капсула</v>
      </c>
      <c r="C1582" s="3" t="s">
        <v>17</v>
      </c>
      <c r="D1582" s="4">
        <v>385.2</v>
      </c>
      <c r="E1582" s="4">
        <v>89</v>
      </c>
      <c r="F1582" s="8">
        <v>0.77</v>
      </c>
      <c r="H1582" s="11"/>
      <c r="I1582" s="11"/>
      <c r="J1582" s="11"/>
    </row>
    <row r="1583" spans="1:10" ht="15.75" x14ac:dyDescent="0.3">
      <c r="A1583" s="13" t="str">
        <f>HYPERLINK("https://parts-sales.ru/parts/MAN/51121020004","51.12102-0004")</f>
        <v>51.12102-0004</v>
      </c>
      <c r="B1583" s="13" t="str">
        <f>HYPERLINK("https://parts-sales.ru/parts/MAN/51121020004","Кожух фильтра")</f>
        <v>Кожух фильтра</v>
      </c>
      <c r="C1583" s="5" t="s">
        <v>17</v>
      </c>
      <c r="D1583" s="6">
        <v>3331.2</v>
      </c>
      <c r="E1583" s="6">
        <v>785</v>
      </c>
      <c r="F1583" s="9">
        <v>0.76</v>
      </c>
      <c r="H1583" s="11"/>
      <c r="I1583" s="11"/>
      <c r="J1583" s="11"/>
    </row>
    <row r="1584" spans="1:10" ht="15.75" x14ac:dyDescent="0.3">
      <c r="A1584" s="12" t="str">
        <f>HYPERLINK("https://parts-sales.ru/parts/MAN/51123045941","51.12304-5941")</f>
        <v>51.12304-5941</v>
      </c>
      <c r="B1584" s="12" t="str">
        <f>HYPERLINK("https://parts-sales.ru/parts/MAN/51123045941","Топливопровод с")</f>
        <v>Топливопровод с</v>
      </c>
      <c r="C1584" s="3" t="s">
        <v>17</v>
      </c>
      <c r="D1584" s="4">
        <v>31705.200000000001</v>
      </c>
      <c r="E1584" s="4">
        <v>8393</v>
      </c>
      <c r="F1584" s="8">
        <v>0.74</v>
      </c>
      <c r="H1584" s="11"/>
      <c r="I1584" s="11"/>
      <c r="J1584" s="11"/>
    </row>
    <row r="1585" spans="1:10" ht="15.75" x14ac:dyDescent="0.3">
      <c r="A1585" s="13" t="str">
        <f>HYPERLINK("https://parts-sales.ru/parts/MAN/51123055429","51.12305-5429")</f>
        <v>51.12305-5429</v>
      </c>
      <c r="B1585" s="13" t="str">
        <f>HYPERLINK("https://parts-sales.ru/parts/MAN/51123055429","Подпиточная проводка 12,5x1,25")</f>
        <v>Подпиточная проводка 12,5x1,25</v>
      </c>
      <c r="C1585" s="5" t="s">
        <v>17</v>
      </c>
      <c r="D1585" s="6">
        <v>22454.400000000001</v>
      </c>
      <c r="E1585" s="6">
        <v>5060</v>
      </c>
      <c r="F1585" s="9">
        <v>0.77</v>
      </c>
      <c r="H1585" s="11"/>
      <c r="I1585" s="11"/>
      <c r="J1585" s="11"/>
    </row>
    <row r="1586" spans="1:10" ht="15.75" x14ac:dyDescent="0.3">
      <c r="A1586" s="12" t="str">
        <f>HYPERLINK("https://parts-sales.ru/parts/MAN/51123055450","51.12305-5450")</f>
        <v>51.12305-5450</v>
      </c>
      <c r="B1586" s="12" t="str">
        <f>HYPERLINK("https://parts-sales.ru/parts/MAN/51123055450","Подпиточная проводка")</f>
        <v>Подпиточная проводка</v>
      </c>
      <c r="C1586" s="3" t="s">
        <v>17</v>
      </c>
      <c r="D1586" s="4">
        <v>13514.4</v>
      </c>
      <c r="E1586" s="4">
        <v>4148</v>
      </c>
      <c r="F1586" s="8">
        <v>0.69</v>
      </c>
      <c r="H1586" s="11"/>
      <c r="I1586" s="11"/>
      <c r="J1586" s="11"/>
    </row>
    <row r="1587" spans="1:10" ht="15.75" x14ac:dyDescent="0.3">
      <c r="A1587" s="13" t="str">
        <f>HYPERLINK("https://parts-sales.ru/parts/MAN/51123075219","51.12307-5219")</f>
        <v>51.12307-5219</v>
      </c>
      <c r="B1587" s="13" t="str">
        <f>HYPERLINK("https://parts-sales.ru/parts/MAN/51123075219","Топливопровод 12,5X1,25-PA12-PHLY")</f>
        <v>Топливопровод 12,5X1,25-PA12-PHLY</v>
      </c>
      <c r="C1587" s="5" t="s">
        <v>17</v>
      </c>
      <c r="D1587" s="6">
        <v>33818.400000000001</v>
      </c>
      <c r="E1587" s="6">
        <v>7480</v>
      </c>
      <c r="F1587" s="9">
        <v>0.78</v>
      </c>
      <c r="H1587" s="11"/>
      <c r="I1587" s="11"/>
      <c r="J1587" s="11"/>
    </row>
    <row r="1588" spans="1:10" ht="15.75" x14ac:dyDescent="0.3">
      <c r="A1588" s="12" t="str">
        <f>HYPERLINK("https://parts-sales.ru/parts/MAN/51123075754","51.12307-5754")</f>
        <v>51.12307-5754</v>
      </c>
      <c r="B1588" s="12" t="str">
        <f>HYPERLINK("https://parts-sales.ru/parts/MAN/51123075754","Топливопровод Фильтр грубой очистки")</f>
        <v>Топливопровод Фильтр грубой очистки</v>
      </c>
      <c r="C1588" s="3" t="s">
        <v>17</v>
      </c>
      <c r="D1588" s="4">
        <v>60721.42</v>
      </c>
      <c r="E1588" s="4">
        <v>25363</v>
      </c>
      <c r="F1588" s="8">
        <v>0.57999999999999996</v>
      </c>
      <c r="H1588" s="11"/>
      <c r="I1588" s="11"/>
      <c r="J1588" s="11"/>
    </row>
    <row r="1589" spans="1:10" ht="15.75" x14ac:dyDescent="0.3">
      <c r="A1589" s="13" t="str">
        <f>HYPERLINK("https://parts-sales.ru/parts/MAN/51125017210","51.12501-7210")</f>
        <v>51.12501-7210</v>
      </c>
      <c r="B1589" s="13" t="str">
        <f>HYPERLINK("https://parts-sales.ru/parts/MAN/51125017210","Топливный фильтр")</f>
        <v>Топливный фильтр</v>
      </c>
      <c r="C1589" s="5" t="s">
        <v>17</v>
      </c>
      <c r="D1589" s="6">
        <v>3198.31</v>
      </c>
      <c r="E1589" s="6">
        <v>1920</v>
      </c>
      <c r="F1589" s="9">
        <v>0.4</v>
      </c>
      <c r="H1589" s="11"/>
      <c r="I1589" s="11"/>
      <c r="J1589" s="11"/>
    </row>
    <row r="1590" spans="1:10" ht="15.75" x14ac:dyDescent="0.3">
      <c r="A1590" s="12" t="str">
        <f>HYPERLINK("https://parts-sales.ru/parts/MAN/51125030059","51.12503-0059")</f>
        <v>51.12503-0059</v>
      </c>
      <c r="B1590" s="12" t="str">
        <f>HYPERLINK("https://parts-sales.ru/parts/MAN/51125030059","Сменный топливный фильтр")</f>
        <v>Сменный топливный фильтр</v>
      </c>
      <c r="C1590" s="3" t="s">
        <v>17</v>
      </c>
      <c r="D1590" s="4">
        <v>1101.5999999999999</v>
      </c>
      <c r="E1590" s="4">
        <v>460</v>
      </c>
      <c r="F1590" s="8">
        <v>0.57999999999999996</v>
      </c>
      <c r="H1590" s="11"/>
      <c r="I1590" s="11"/>
      <c r="J1590" s="11"/>
    </row>
    <row r="1591" spans="1:10" ht="15.75" x14ac:dyDescent="0.3">
      <c r="A1591" s="13" t="str">
        <f>HYPERLINK("https://parts-sales.ru/parts/MAN/51125046004","51.12504-6004")</f>
        <v>51.12504-6004</v>
      </c>
      <c r="B1591" s="13" t="str">
        <f>HYPERLINK("https://parts-sales.ru/parts/MAN/51125046004","Крышка в малом исполнении")</f>
        <v>Крышка в малом исполнении</v>
      </c>
      <c r="C1591" s="5" t="s">
        <v>17</v>
      </c>
      <c r="D1591" s="6">
        <v>7393.2</v>
      </c>
      <c r="E1591" s="6">
        <v>1764</v>
      </c>
      <c r="F1591" s="9">
        <v>0.76</v>
      </c>
      <c r="H1591" s="11"/>
      <c r="I1591" s="11"/>
      <c r="J1591" s="11"/>
    </row>
    <row r="1592" spans="1:10" ht="15.75" x14ac:dyDescent="0.3">
      <c r="A1592" s="12" t="str">
        <f>HYPERLINK("https://parts-sales.ru/parts/MAN/51125050004","51.12505-0004")</f>
        <v>51.12505-0004</v>
      </c>
      <c r="B1592" s="12" t="str">
        <f>HYPERLINK("https://parts-sales.ru/parts/MAN/51125050004","Перепускной клапан 1,3-1,8BAR")</f>
        <v>Перепускной клапан 1,3-1,8BAR</v>
      </c>
      <c r="C1592" s="3" t="s">
        <v>17</v>
      </c>
      <c r="D1592" s="4">
        <v>6852</v>
      </c>
      <c r="E1592" s="4">
        <v>1211</v>
      </c>
      <c r="F1592" s="8">
        <v>0.82</v>
      </c>
      <c r="H1592" s="11"/>
      <c r="I1592" s="11"/>
      <c r="J1592" s="11"/>
    </row>
    <row r="1593" spans="1:10" ht="15.75" x14ac:dyDescent="0.3">
      <c r="A1593" s="13" t="str">
        <f>HYPERLINK("https://parts-sales.ru/parts/MAN/51125050027","51.12505-0027")</f>
        <v>51.12505-0027</v>
      </c>
      <c r="B1593" s="13" t="str">
        <f>HYPERLINK("https://parts-sales.ru/parts/MAN/51125050027","Дозирующий модуль")</f>
        <v>Дозирующий модуль</v>
      </c>
      <c r="C1593" s="5" t="s">
        <v>17</v>
      </c>
      <c r="D1593" s="6">
        <v>97183.5</v>
      </c>
      <c r="E1593" s="6">
        <v>58564</v>
      </c>
      <c r="F1593" s="9">
        <v>0.4</v>
      </c>
      <c r="H1593" s="11"/>
      <c r="I1593" s="11"/>
      <c r="J1593" s="11"/>
    </row>
    <row r="1594" spans="1:10" ht="15.75" x14ac:dyDescent="0.3">
      <c r="A1594" s="12" t="str">
        <f>HYPERLINK("https://parts-sales.ru/parts/MAN/51125400351","51.12540-0351")</f>
        <v>51.12540-0351</v>
      </c>
      <c r="B1594" s="12" t="str">
        <f>HYPERLINK("https://parts-sales.ru/parts/MAN/51125400351","Держатель Топливный фильтр")</f>
        <v>Держатель Топливный фильтр</v>
      </c>
      <c r="C1594" s="3" t="s">
        <v>17</v>
      </c>
      <c r="D1594" s="4">
        <v>7159.2</v>
      </c>
      <c r="E1594" s="4">
        <v>2957</v>
      </c>
      <c r="F1594" s="8">
        <v>0.59</v>
      </c>
      <c r="H1594" s="11"/>
      <c r="I1594" s="11"/>
      <c r="J1594" s="11"/>
    </row>
    <row r="1595" spans="1:10" ht="15.75" x14ac:dyDescent="0.3">
      <c r="A1595" s="13" t="str">
        <f>HYPERLINK("https://parts-sales.ru/parts/MAN/51125400352","51.12540-0352")</f>
        <v>51.12540-0352</v>
      </c>
      <c r="B1595" s="13" t="str">
        <f>HYPERLINK("https://parts-sales.ru/parts/MAN/51125400352","Держатель")</f>
        <v>Держатель</v>
      </c>
      <c r="C1595" s="5" t="s">
        <v>17</v>
      </c>
      <c r="D1595" s="6">
        <v>16650</v>
      </c>
      <c r="E1595" s="6">
        <v>3785</v>
      </c>
      <c r="F1595" s="9">
        <v>0.77</v>
      </c>
      <c r="H1595" s="11"/>
      <c r="I1595" s="11"/>
      <c r="J1595" s="11"/>
    </row>
    <row r="1596" spans="1:10" ht="15.75" x14ac:dyDescent="0.3">
      <c r="A1596" s="12" t="str">
        <f>HYPERLINK("https://parts-sales.ru/parts/MAN/51125405126","51.12540-5126")</f>
        <v>51.12540-5126</v>
      </c>
      <c r="B1596" s="12" t="str">
        <f>HYPERLINK("https://parts-sales.ru/parts/MAN/51125405126","Держатель Стопорный клапан")</f>
        <v>Держатель Стопорный клапан</v>
      </c>
      <c r="C1596" s="3" t="s">
        <v>17</v>
      </c>
      <c r="D1596" s="4">
        <v>2875.2</v>
      </c>
      <c r="E1596" s="4">
        <v>956</v>
      </c>
      <c r="F1596" s="8">
        <v>0.67</v>
      </c>
      <c r="H1596" s="11"/>
      <c r="I1596" s="11"/>
      <c r="J1596" s="11"/>
    </row>
    <row r="1597" spans="1:10" ht="15.75" x14ac:dyDescent="0.3">
      <c r="A1597" s="13" t="str">
        <f>HYPERLINK("https://parts-sales.ru/parts/MAN/51131056019","51.13105-6019")</f>
        <v>51.13105-6019</v>
      </c>
      <c r="B1597" s="13" t="str">
        <f>HYPERLINK("https://parts-sales.ru/parts/MAN/51131056019","Дроссельная заслонка DV-E5 DMR57")</f>
        <v>Дроссельная заслонка DV-E5 DMR57</v>
      </c>
      <c r="C1597" s="5" t="s">
        <v>17</v>
      </c>
      <c r="D1597" s="6">
        <v>117476.04</v>
      </c>
      <c r="E1597" s="6">
        <v>36553</v>
      </c>
      <c r="F1597" s="9">
        <v>0.69</v>
      </c>
      <c r="H1597" s="11"/>
      <c r="I1597" s="11"/>
      <c r="J1597" s="11"/>
    </row>
    <row r="1598" spans="1:10" ht="15.75" x14ac:dyDescent="0.3">
      <c r="A1598" s="12" t="str">
        <f>HYPERLINK("https://parts-sales.ru/parts/MAN/51131090067","51.13109-0067")</f>
        <v>51.13109-0067</v>
      </c>
      <c r="B1598" s="12" t="str">
        <f>HYPERLINK("https://parts-sales.ru/parts/MAN/51131090067","Клапан сжатого газа")</f>
        <v>Клапан сжатого газа</v>
      </c>
      <c r="C1598" s="3" t="s">
        <v>17</v>
      </c>
      <c r="D1598" s="4">
        <v>73492.800000000003</v>
      </c>
      <c r="E1598" s="4">
        <v>15031</v>
      </c>
      <c r="F1598" s="8">
        <v>0.8</v>
      </c>
      <c r="H1598" s="11"/>
      <c r="I1598" s="11"/>
      <c r="J1598" s="11"/>
    </row>
    <row r="1599" spans="1:10" ht="15.75" x14ac:dyDescent="0.3">
      <c r="A1599" s="13" t="str">
        <f>HYPERLINK("https://parts-sales.ru/parts/MAN/51131116051","51.13111-6051")</f>
        <v>51.13111-6051</v>
      </c>
      <c r="B1599" s="13" t="str">
        <f>HYPERLINK("https://parts-sales.ru/parts/MAN/51131116051","Регулятор давления газа")</f>
        <v>Регулятор давления газа</v>
      </c>
      <c r="C1599" s="5" t="s">
        <v>17</v>
      </c>
      <c r="D1599" s="6">
        <v>277882.8</v>
      </c>
      <c r="E1599" s="6">
        <v>171782</v>
      </c>
      <c r="F1599" s="9">
        <v>0.38</v>
      </c>
      <c r="H1599" s="11"/>
      <c r="I1599" s="11"/>
      <c r="J1599" s="11"/>
    </row>
    <row r="1600" spans="1:10" ht="15.75" x14ac:dyDescent="0.3">
      <c r="A1600" s="12" t="str">
        <f>HYPERLINK("https://parts-sales.ru/parts/MAN/51131150039","51.13115-0039")</f>
        <v>51.13115-0039</v>
      </c>
      <c r="B1600" s="12" t="str">
        <f>HYPERLINK("https://parts-sales.ru/parts/MAN/51131150039","Редукционный клапан")</f>
        <v>Редукционный клапан</v>
      </c>
      <c r="C1600" s="3" t="s">
        <v>17</v>
      </c>
      <c r="D1600" s="4">
        <v>46153.2</v>
      </c>
      <c r="E1600" s="4">
        <v>10999</v>
      </c>
      <c r="F1600" s="8">
        <v>0.76</v>
      </c>
      <c r="H1600" s="11"/>
      <c r="I1600" s="11"/>
      <c r="J1600" s="11"/>
    </row>
    <row r="1601" spans="1:10" ht="15.75" x14ac:dyDescent="0.3">
      <c r="A1601" s="13" t="str">
        <f>HYPERLINK("https://parts-sales.ru/parts/MAN/51131150041","51.13115-0041")</f>
        <v>51.13115-0041</v>
      </c>
      <c r="B1601" s="13" t="str">
        <f>HYPERLINK("https://parts-sales.ru/parts/MAN/51131150041","Впускной воздушный вентиль")</f>
        <v>Впускной воздушный вентиль</v>
      </c>
      <c r="C1601" s="5" t="s">
        <v>17</v>
      </c>
      <c r="D1601" s="6">
        <v>13555.8</v>
      </c>
      <c r="E1601" s="6">
        <v>4595</v>
      </c>
      <c r="F1601" s="9">
        <v>0.66</v>
      </c>
      <c r="H1601" s="11"/>
      <c r="I1601" s="11"/>
      <c r="J1601" s="11"/>
    </row>
    <row r="1602" spans="1:10" ht="15.75" x14ac:dyDescent="0.3">
      <c r="A1602" s="12" t="str">
        <f>HYPERLINK("https://parts-sales.ru/parts/MAN/51152010110","51.15201-0110")</f>
        <v>51.15201-0110</v>
      </c>
      <c r="B1602" s="12" t="str">
        <f>HYPERLINK("https://parts-sales.ru/parts/MAN/51152010110","Соединительный элемент")</f>
        <v>Соединительный элемент</v>
      </c>
      <c r="C1602" s="3" t="s">
        <v>17</v>
      </c>
      <c r="D1602" s="4">
        <v>96102</v>
      </c>
      <c r="E1602" s="4">
        <v>21900</v>
      </c>
      <c r="F1602" s="8">
        <v>0.77</v>
      </c>
      <c r="H1602" s="11"/>
      <c r="I1602" s="11"/>
      <c r="J1602" s="11"/>
    </row>
    <row r="1603" spans="1:10" ht="15.75" x14ac:dyDescent="0.3">
      <c r="A1603" s="13" t="str">
        <f>HYPERLINK("https://parts-sales.ru/parts/MAN/51152015225","51.15201-5225")</f>
        <v>51.15201-5225</v>
      </c>
      <c r="B1603" s="13" t="str">
        <f>HYPERLINK("https://parts-sales.ru/parts/MAN/51152015225","Выпускной трубопровод")</f>
        <v>Выпускной трубопровод</v>
      </c>
      <c r="C1603" s="5" t="s">
        <v>17</v>
      </c>
      <c r="D1603" s="6">
        <v>71712</v>
      </c>
      <c r="E1603" s="6">
        <v>27180</v>
      </c>
      <c r="F1603" s="9">
        <v>0.62</v>
      </c>
      <c r="H1603" s="11"/>
      <c r="I1603" s="11"/>
      <c r="J1603" s="11"/>
    </row>
    <row r="1604" spans="1:10" ht="15.75" x14ac:dyDescent="0.3">
      <c r="A1604" s="12" t="str">
        <f>HYPERLINK("https://parts-sales.ru/parts/MAN/51152016319","51.15201-6319")</f>
        <v>51.15201-6319</v>
      </c>
      <c r="B1604" s="12" t="str">
        <f>HYPERLINK("https://parts-sales.ru/parts/MAN/51152016319","Тормоз двигателя")</f>
        <v>Тормоз двигателя</v>
      </c>
      <c r="C1604" s="3" t="s">
        <v>17</v>
      </c>
      <c r="D1604" s="4">
        <v>132951.67999999999</v>
      </c>
      <c r="E1604" s="4">
        <v>55629</v>
      </c>
      <c r="F1604" s="8">
        <v>0.57999999999999996</v>
      </c>
      <c r="H1604" s="11"/>
      <c r="I1604" s="11"/>
      <c r="J1604" s="11"/>
    </row>
    <row r="1605" spans="1:10" ht="15.75" x14ac:dyDescent="0.3">
      <c r="A1605" s="13" t="str">
        <f>HYPERLINK("https://parts-sales.ru/parts/MAN/51152016320","51.15201-6320")</f>
        <v>51.15201-6320</v>
      </c>
      <c r="B1605" s="13" t="str">
        <f>HYPERLINK("https://parts-sales.ru/parts/MAN/51152016320","Тормоз двигателя")</f>
        <v>Тормоз двигателя</v>
      </c>
      <c r="C1605" s="5" t="s">
        <v>17</v>
      </c>
      <c r="D1605" s="6">
        <v>333956.40000000002</v>
      </c>
      <c r="E1605" s="6">
        <v>166925</v>
      </c>
      <c r="F1605" s="9">
        <v>0.5</v>
      </c>
      <c r="H1605" s="11"/>
      <c r="I1605" s="11"/>
      <c r="J1605" s="11"/>
    </row>
    <row r="1606" spans="1:10" ht="15.75" x14ac:dyDescent="0.3">
      <c r="A1606" s="12" t="str">
        <f>HYPERLINK("https://parts-sales.ru/parts/MAN/51152016326","51.15201-6326")</f>
        <v>51.15201-6326</v>
      </c>
      <c r="B1606" s="12" t="str">
        <f>HYPERLINK("https://parts-sales.ru/parts/MAN/51152016326","Тормоз двигателя")</f>
        <v>Тормоз двигателя</v>
      </c>
      <c r="C1606" s="3" t="s">
        <v>17</v>
      </c>
      <c r="D1606" s="4">
        <v>167252.78</v>
      </c>
      <c r="E1606" s="4">
        <v>69981</v>
      </c>
      <c r="F1606" s="8">
        <v>0.57999999999999996</v>
      </c>
      <c r="H1606" s="11"/>
      <c r="I1606" s="11"/>
      <c r="J1606" s="11"/>
    </row>
    <row r="1607" spans="1:10" ht="15.75" x14ac:dyDescent="0.3">
      <c r="A1607" s="13" t="str">
        <f>HYPERLINK("https://parts-sales.ru/parts/MAN/51152305019","51.15230-5019")</f>
        <v>51.15230-5019</v>
      </c>
      <c r="B1607" s="13" t="str">
        <f>HYPERLINK("https://parts-sales.ru/parts/MAN/51152305019","Смеситель мочевины")</f>
        <v>Смеситель мочевины</v>
      </c>
      <c r="C1607" s="5" t="s">
        <v>17</v>
      </c>
      <c r="D1607" s="6">
        <v>154325.85999999999</v>
      </c>
      <c r="E1607" s="6">
        <v>103349</v>
      </c>
      <c r="F1607" s="9">
        <v>0.33</v>
      </c>
      <c r="H1607" s="11"/>
      <c r="I1607" s="11"/>
      <c r="J1607" s="11"/>
    </row>
    <row r="1608" spans="1:10" ht="15.75" x14ac:dyDescent="0.3">
      <c r="A1608" s="12" t="str">
        <f>HYPERLINK("https://parts-sales.ru/parts/MAN/51152405046","51.15240-5046")</f>
        <v>51.15240-5046</v>
      </c>
      <c r="B1608" s="12" t="str">
        <f>HYPERLINK("https://parts-sales.ru/parts/MAN/51152405046","Держатель")</f>
        <v>Держатель</v>
      </c>
      <c r="C1608" s="3" t="s">
        <v>17</v>
      </c>
      <c r="D1608" s="4">
        <v>18805.2</v>
      </c>
      <c r="E1608" s="4">
        <v>3553</v>
      </c>
      <c r="F1608" s="8">
        <v>0.81</v>
      </c>
      <c r="H1608" s="11"/>
      <c r="I1608" s="11"/>
      <c r="J1608" s="11"/>
    </row>
    <row r="1609" spans="1:10" ht="15.75" x14ac:dyDescent="0.3">
      <c r="A1609" s="13" t="str">
        <f>HYPERLINK("https://parts-sales.ru/parts/MAN/51154080002","51.15408-0002")</f>
        <v>51.15408-0002</v>
      </c>
      <c r="B1609" s="13" t="str">
        <f>HYPERLINK("https://parts-sales.ru/parts/MAN/51154080002","Ламбдавидный щуп")</f>
        <v>Ламбдавидный щуп</v>
      </c>
      <c r="C1609" s="5" t="s">
        <v>17</v>
      </c>
      <c r="D1609" s="6">
        <v>24812.400000000001</v>
      </c>
      <c r="E1609" s="6">
        <v>6812</v>
      </c>
      <c r="F1609" s="9">
        <v>0.73</v>
      </c>
      <c r="H1609" s="11"/>
      <c r="I1609" s="11"/>
      <c r="J1609" s="11"/>
    </row>
    <row r="1610" spans="1:10" ht="15.75" x14ac:dyDescent="0.3">
      <c r="A1610" s="12" t="str">
        <f>HYPERLINK("https://parts-sales.ru/parts/MAN/51159010029","51.15901-0029")</f>
        <v>51.15901-0029</v>
      </c>
      <c r="B1610" s="12" t="str">
        <f>HYPERLINK("https://parts-sales.ru/parts/MAN/51159010029","Уплотнение без асбеста")</f>
        <v>Уплотнение без асбеста</v>
      </c>
      <c r="C1610" s="3" t="s">
        <v>17</v>
      </c>
      <c r="D1610" s="4">
        <v>43622.400000000001</v>
      </c>
      <c r="E1610" s="4">
        <v>8847</v>
      </c>
      <c r="F1610" s="8">
        <v>0.8</v>
      </c>
      <c r="H1610" s="11"/>
      <c r="I1610" s="11"/>
      <c r="J1610" s="11"/>
    </row>
    <row r="1611" spans="1:10" ht="15.75" x14ac:dyDescent="0.3">
      <c r="A1611" s="13" t="str">
        <f>HYPERLINK("https://parts-sales.ru/parts/MAN/51191010573","51.19101-0573")</f>
        <v>51.19101-0573</v>
      </c>
      <c r="B1611" s="13" t="str">
        <f>HYPERLINK("https://parts-sales.ru/parts/MAN/51191010573","Держатель")</f>
        <v>Держатель</v>
      </c>
      <c r="C1611" s="5" t="s">
        <v>17</v>
      </c>
      <c r="D1611" s="6">
        <v>13450.8</v>
      </c>
      <c r="E1611" s="6">
        <v>3034</v>
      </c>
      <c r="F1611" s="9">
        <v>0.77</v>
      </c>
      <c r="H1611" s="11"/>
      <c r="I1611" s="11"/>
      <c r="J1611" s="11"/>
    </row>
    <row r="1612" spans="1:10" ht="15.75" x14ac:dyDescent="0.3">
      <c r="A1612" s="12" t="str">
        <f>HYPERLINK("https://parts-sales.ru/parts/MAN/51191010575","51.19101-0575")</f>
        <v>51.19101-0575</v>
      </c>
      <c r="B1612" s="12" t="str">
        <f>HYPERLINK("https://parts-sales.ru/parts/MAN/51191010575","Промежуточная плата")</f>
        <v>Промежуточная плата</v>
      </c>
      <c r="C1612" s="3" t="s">
        <v>17</v>
      </c>
      <c r="D1612" s="4">
        <v>2384.4</v>
      </c>
      <c r="E1612" s="4">
        <v>587</v>
      </c>
      <c r="F1612" s="8">
        <v>0.75</v>
      </c>
      <c r="H1612" s="11"/>
      <c r="I1612" s="11"/>
      <c r="J1612" s="11"/>
    </row>
    <row r="1613" spans="1:10" ht="15.75" x14ac:dyDescent="0.3">
      <c r="A1613" s="13" t="str">
        <f>HYPERLINK("https://parts-sales.ru/parts/MAN/51192200187","51.19220-0187")</f>
        <v>51.19220-0187</v>
      </c>
      <c r="B1613" s="13" t="str">
        <f>HYPERLINK("https://parts-sales.ru/parts/MAN/51192200187","Абсорбер")</f>
        <v>Абсорбер</v>
      </c>
      <c r="C1613" s="5" t="s">
        <v>17</v>
      </c>
      <c r="D1613" s="6">
        <v>2919.6</v>
      </c>
      <c r="E1613" s="6">
        <v>554</v>
      </c>
      <c r="F1613" s="9">
        <v>0.81</v>
      </c>
      <c r="H1613" s="11"/>
      <c r="I1613" s="11"/>
      <c r="J1613" s="11"/>
    </row>
    <row r="1614" spans="1:10" ht="15.75" x14ac:dyDescent="0.3">
      <c r="A1614" s="12" t="str">
        <f>HYPERLINK("https://parts-sales.ru/parts/MAN/51254410073","51.25441-0073")</f>
        <v>51.25441-0073</v>
      </c>
      <c r="B1614" s="12" t="str">
        <f>HYPERLINK("https://parts-sales.ru/parts/MAN/51254410073","Стопорная втулка (гильза)")</f>
        <v>Стопорная втулка (гильза)</v>
      </c>
      <c r="C1614" s="3" t="s">
        <v>17</v>
      </c>
      <c r="D1614" s="4">
        <v>1947.6</v>
      </c>
      <c r="E1614" s="4">
        <v>101</v>
      </c>
      <c r="F1614" s="8">
        <v>0.95</v>
      </c>
      <c r="H1614" s="11"/>
      <c r="I1614" s="11"/>
      <c r="J1614" s="11"/>
    </row>
    <row r="1615" spans="1:10" ht="15.75" x14ac:dyDescent="0.3">
      <c r="A1615" s="13" t="str">
        <f>HYPERLINK("https://parts-sales.ru/parts/MAN/51255017007","51.25501-7007")</f>
        <v>51.25501-7007</v>
      </c>
      <c r="B1615" s="13" t="str">
        <f>HYPERLINK("https://parts-sales.ru/parts/MAN/51255017007","Модуль Система зажигания")</f>
        <v>Модуль Система зажигания</v>
      </c>
      <c r="C1615" s="5" t="s">
        <v>17</v>
      </c>
      <c r="D1615" s="6">
        <v>16074.79</v>
      </c>
      <c r="E1615" s="6">
        <v>7501</v>
      </c>
      <c r="F1615" s="9">
        <v>0.53</v>
      </c>
      <c r="H1615" s="11"/>
      <c r="I1615" s="11"/>
      <c r="J1615" s="11"/>
    </row>
    <row r="1616" spans="1:10" ht="15.75" x14ac:dyDescent="0.3">
      <c r="A1616" s="12" t="str">
        <f>HYPERLINK("https://parts-sales.ru/parts/MAN/51258037757","51.25803-7757")</f>
        <v>51.25803-7757</v>
      </c>
      <c r="B1616" s="12" t="str">
        <f>HYPERLINK("https://parts-sales.ru/parts/MAN/51258037757","Система управления двигателем D0836LFL61")</f>
        <v>Система управления двигателем D0836LFL61</v>
      </c>
      <c r="C1616" s="3" t="s">
        <v>17</v>
      </c>
      <c r="D1616" s="4">
        <v>251554.8</v>
      </c>
      <c r="E1616" s="4">
        <v>98610</v>
      </c>
      <c r="F1616" s="8">
        <v>0.61</v>
      </c>
      <c r="H1616" s="11"/>
      <c r="I1616" s="11"/>
      <c r="J1616" s="11"/>
    </row>
    <row r="1617" spans="1:10" ht="15.75" x14ac:dyDescent="0.3">
      <c r="A1617" s="13" t="str">
        <f>HYPERLINK("https://parts-sales.ru/parts/MAN/51258337391","51.25833-7391")</f>
        <v>51.25833-7391</v>
      </c>
      <c r="B1617" s="13" t="str">
        <f>HYPERLINK("https://parts-sales.ru/parts/MAN/51258337391","Система управления двигателем")</f>
        <v>Система управления двигателем</v>
      </c>
      <c r="C1617" s="5" t="s">
        <v>17</v>
      </c>
      <c r="D1617" s="6">
        <v>235900.04</v>
      </c>
      <c r="E1617" s="6">
        <v>98271</v>
      </c>
      <c r="F1617" s="9">
        <v>0.57999999999999996</v>
      </c>
      <c r="H1617" s="11"/>
      <c r="I1617" s="11"/>
      <c r="J1617" s="11"/>
    </row>
    <row r="1618" spans="1:10" ht="15.75" x14ac:dyDescent="0.3">
      <c r="A1618" s="12" t="str">
        <f>HYPERLINK("https://parts-sales.ru/parts/MAN/51258337663","51.25833-7663")</f>
        <v>51.25833-7663</v>
      </c>
      <c r="B1618" s="12" t="str">
        <f>HYPERLINK("https://parts-sales.ru/parts/MAN/51258337663","Система управления двигателем D0836LOH64")</f>
        <v>Система управления двигателем D0836LOH64</v>
      </c>
      <c r="C1618" s="3" t="s">
        <v>17</v>
      </c>
      <c r="D1618" s="4">
        <v>440781.6</v>
      </c>
      <c r="E1618" s="4">
        <v>272484</v>
      </c>
      <c r="F1618" s="8">
        <v>0.38</v>
      </c>
      <c r="H1618" s="11"/>
      <c r="I1618" s="11"/>
      <c r="J1618" s="11"/>
    </row>
    <row r="1619" spans="1:10" ht="15.75" x14ac:dyDescent="0.3">
      <c r="A1619" s="13" t="str">
        <f>HYPERLINK("https://parts-sales.ru/parts/MAN/51258337664","51.25833-7664")</f>
        <v>51.25833-7664</v>
      </c>
      <c r="B1619" s="13" t="str">
        <f>HYPERLINK("https://parts-sales.ru/parts/MAN/51258337664","Система управления двигателем D0836LOH65")</f>
        <v>Система управления двигателем D0836LOH65</v>
      </c>
      <c r="C1619" s="5" t="s">
        <v>17</v>
      </c>
      <c r="D1619" s="6">
        <v>500866.97</v>
      </c>
      <c r="E1619" s="6">
        <v>335414</v>
      </c>
      <c r="F1619" s="9">
        <v>0.33</v>
      </c>
      <c r="H1619" s="11"/>
      <c r="I1619" s="11"/>
      <c r="J1619" s="11"/>
    </row>
    <row r="1620" spans="1:10" ht="15.75" x14ac:dyDescent="0.3">
      <c r="A1620" s="12" t="str">
        <f>HYPERLINK("https://parts-sales.ru/parts/MAN/51259210007","51.25921-0007")</f>
        <v>51.25921-0007</v>
      </c>
      <c r="B1620" s="12" t="str">
        <f>HYPERLINK("https://parts-sales.ru/parts/MAN/51259210007","Угольная щетка Торсионная пружина")</f>
        <v>Угольная щетка Торсионная пружина</v>
      </c>
      <c r="C1620" s="3" t="s">
        <v>17</v>
      </c>
      <c r="D1620" s="4">
        <v>1494</v>
      </c>
      <c r="E1620" s="4">
        <v>189</v>
      </c>
      <c r="F1620" s="8">
        <v>0.87</v>
      </c>
      <c r="H1620" s="11"/>
      <c r="I1620" s="11"/>
      <c r="J1620" s="11"/>
    </row>
    <row r="1621" spans="1:10" ht="15.75" x14ac:dyDescent="0.3">
      <c r="A1621" s="13" t="str">
        <f>HYPERLINK("https://parts-sales.ru/parts/MAN/51259340003","51.25934-0003")</f>
        <v>51.25934-0003</v>
      </c>
      <c r="B1621" s="13" t="str">
        <f>HYPERLINK("https://parts-sales.ru/parts/MAN/51259340003","Катушка возбуждения")</f>
        <v>Катушка возбуждения</v>
      </c>
      <c r="C1621" s="5" t="s">
        <v>17</v>
      </c>
      <c r="D1621" s="6">
        <v>14716.8</v>
      </c>
      <c r="E1621" s="6">
        <v>3183</v>
      </c>
      <c r="F1621" s="9">
        <v>0.78</v>
      </c>
      <c r="H1621" s="11"/>
      <c r="I1621" s="11"/>
      <c r="J1621" s="11"/>
    </row>
    <row r="1622" spans="1:10" ht="15.75" x14ac:dyDescent="0.3">
      <c r="A1622" s="12" t="str">
        <f>HYPERLINK("https://parts-sales.ru/parts/MAN/51261019268","51.26101-9268")</f>
        <v>51.26101-9268</v>
      </c>
      <c r="B1622" s="12" t="str">
        <f>HYPERLINK("https://parts-sales.ru/parts/MAN/51261019268","Трехфазный генератор")</f>
        <v>Трехфазный генератор</v>
      </c>
      <c r="C1622" s="3" t="s">
        <v>17</v>
      </c>
      <c r="D1622" s="4">
        <v>55717.9</v>
      </c>
      <c r="E1622" s="4">
        <v>25530</v>
      </c>
      <c r="F1622" s="8">
        <v>0.54</v>
      </c>
      <c r="H1622" s="11"/>
      <c r="I1622" s="11"/>
      <c r="J1622" s="11"/>
    </row>
    <row r="1623" spans="1:10" ht="15.75" x14ac:dyDescent="0.3">
      <c r="A1623" s="13" t="str">
        <f>HYPERLINK("https://parts-sales.ru/parts/MAN/51261019270","51.26101-9270")</f>
        <v>51.26101-9270</v>
      </c>
      <c r="B1623" s="13" t="str">
        <f>HYPERLINK("https://parts-sales.ru/parts/MAN/51261019270","Трехфазный генератор")</f>
        <v>Трехфазный генератор</v>
      </c>
      <c r="C1623" s="5" t="s">
        <v>17</v>
      </c>
      <c r="D1623" s="6">
        <v>50822.07</v>
      </c>
      <c r="E1623" s="6">
        <v>21204</v>
      </c>
      <c r="F1623" s="9">
        <v>0.57999999999999996</v>
      </c>
      <c r="H1623" s="11"/>
      <c r="I1623" s="11"/>
      <c r="J1623" s="11"/>
    </row>
    <row r="1624" spans="1:10" ht="15.75" x14ac:dyDescent="0.3">
      <c r="A1624" s="12" t="str">
        <f>HYPERLINK("https://parts-sales.ru/parts/MAN/51261050292","51.26105-0292")</f>
        <v>51.26105-0292</v>
      </c>
      <c r="B1624" s="12" t="str">
        <f>HYPERLINK("https://parts-sales.ru/parts/MAN/51261050292","Шкив клинового ремня")</f>
        <v>Шкив клинового ремня</v>
      </c>
      <c r="C1624" s="3" t="s">
        <v>17</v>
      </c>
      <c r="D1624" s="4">
        <v>20642.759999999998</v>
      </c>
      <c r="E1624" s="4">
        <v>8613</v>
      </c>
      <c r="F1624" s="8">
        <v>0.57999999999999996</v>
      </c>
      <c r="H1624" s="11"/>
      <c r="I1624" s="11"/>
      <c r="J1624" s="11"/>
    </row>
    <row r="1625" spans="1:10" ht="15.75" x14ac:dyDescent="0.3">
      <c r="A1625" s="13" t="str">
        <f>HYPERLINK("https://parts-sales.ru/parts/MAN/51261210008","51.26121-0008")</f>
        <v>51.26121-0008</v>
      </c>
      <c r="B1625" s="13" t="str">
        <f>HYPERLINK("https://parts-sales.ru/parts/MAN/51261210008","Защитный колпачок")</f>
        <v>Защитный колпачок</v>
      </c>
      <c r="C1625" s="5" t="s">
        <v>17</v>
      </c>
      <c r="D1625" s="6">
        <v>2490</v>
      </c>
      <c r="E1625" s="6">
        <v>705</v>
      </c>
      <c r="F1625" s="9">
        <v>0.72</v>
      </c>
      <c r="H1625" s="11"/>
      <c r="I1625" s="11"/>
      <c r="J1625" s="11"/>
    </row>
    <row r="1626" spans="1:10" ht="15.75" x14ac:dyDescent="0.3">
      <c r="A1626" s="12" t="str">
        <f>HYPERLINK("https://parts-sales.ru/parts/MAN/51261210009","51.26121-0009")</f>
        <v>51.26121-0009</v>
      </c>
      <c r="B1626" s="12" t="str">
        <f>HYPERLINK("https://parts-sales.ru/parts/MAN/51261210009","Защитная пластина")</f>
        <v>Защитная пластина</v>
      </c>
      <c r="C1626" s="3" t="s">
        <v>17</v>
      </c>
      <c r="D1626" s="4">
        <v>1521.6</v>
      </c>
      <c r="E1626" s="4">
        <v>352</v>
      </c>
      <c r="F1626" s="8">
        <v>0.77</v>
      </c>
      <c r="H1626" s="11"/>
      <c r="I1626" s="11"/>
      <c r="J1626" s="11"/>
    </row>
    <row r="1627" spans="1:10" ht="15.75" x14ac:dyDescent="0.3">
      <c r="A1627" s="13" t="str">
        <f>HYPERLINK("https://parts-sales.ru/parts/MAN/51262017289","51.26201-7289")</f>
        <v>51.26201-7289</v>
      </c>
      <c r="B1627" s="13" t="str">
        <f>HYPERLINK("https://parts-sales.ru/parts/MAN/51262017289","Стартер 5,5KW")</f>
        <v>Стартер 5,5KW</v>
      </c>
      <c r="C1627" s="5" t="s">
        <v>17</v>
      </c>
      <c r="D1627" s="6">
        <v>180403.20000000001</v>
      </c>
      <c r="E1627" s="6">
        <v>42403</v>
      </c>
      <c r="F1627" s="9">
        <v>0.76</v>
      </c>
      <c r="H1627" s="11"/>
      <c r="I1627" s="11"/>
      <c r="J1627" s="11"/>
    </row>
    <row r="1628" spans="1:10" ht="15.75" x14ac:dyDescent="0.3">
      <c r="A1628" s="12" t="str">
        <f>HYPERLINK("https://parts-sales.ru/parts/MAN/51262019233","51.26201-9233")</f>
        <v>51.26201-9233</v>
      </c>
      <c r="B1628" s="12" t="str">
        <f>HYPERLINK("https://parts-sales.ru/parts/MAN/51262019233","Стартер 7,0KW")</f>
        <v>Стартер 7,0KW</v>
      </c>
      <c r="C1628" s="3" t="s">
        <v>17</v>
      </c>
      <c r="D1628" s="4">
        <v>74626.06</v>
      </c>
      <c r="E1628" s="4">
        <v>31171</v>
      </c>
      <c r="F1628" s="8">
        <v>0.57999999999999996</v>
      </c>
      <c r="H1628" s="11"/>
      <c r="I1628" s="11"/>
      <c r="J1628" s="11"/>
    </row>
    <row r="1629" spans="1:10" ht="15.75" x14ac:dyDescent="0.3">
      <c r="A1629" s="13" t="str">
        <f>HYPERLINK("https://parts-sales.ru/parts/MAN/51262120014","51.26212-0014")</f>
        <v>51.26212-0014</v>
      </c>
      <c r="B1629" s="13" t="str">
        <f>HYPERLINK("https://parts-sales.ru/parts/MAN/51262120014","Реле")</f>
        <v>Реле</v>
      </c>
      <c r="C1629" s="5" t="s">
        <v>17</v>
      </c>
      <c r="D1629" s="6">
        <v>81004.800000000003</v>
      </c>
      <c r="E1629" s="6">
        <v>38188</v>
      </c>
      <c r="F1629" s="9">
        <v>0.53</v>
      </c>
      <c r="H1629" s="11"/>
      <c r="I1629" s="11"/>
      <c r="J1629" s="11"/>
    </row>
    <row r="1630" spans="1:10" ht="15.75" x14ac:dyDescent="0.3">
      <c r="A1630" s="12" t="str">
        <f>HYPERLINK("https://parts-sales.ru/parts/MAN/51262120037","51.26212-0037")</f>
        <v>51.26212-0037</v>
      </c>
      <c r="B1630" s="12" t="str">
        <f>HYPERLINK("https://parts-sales.ru/parts/MAN/51262120037","Реле")</f>
        <v>Реле</v>
      </c>
      <c r="C1630" s="3" t="s">
        <v>17</v>
      </c>
      <c r="D1630" s="4">
        <v>48693.599999999999</v>
      </c>
      <c r="E1630" s="4">
        <v>2441</v>
      </c>
      <c r="F1630" s="8">
        <v>0.95</v>
      </c>
      <c r="H1630" s="11"/>
      <c r="I1630" s="11"/>
      <c r="J1630" s="11"/>
    </row>
    <row r="1631" spans="1:10" ht="15.75" x14ac:dyDescent="0.3">
      <c r="A1631" s="13" t="str">
        <f>HYPERLINK("https://parts-sales.ru/parts/MAN/51262186006","51.26218-6006")</f>
        <v>51.26218-6006</v>
      </c>
      <c r="B1631" s="13" t="str">
        <f>HYPERLINK("https://parts-sales.ru/parts/MAN/51262186006","Комплект деталей Зубчатое колесо")</f>
        <v>Комплект деталей Зубчатое колесо</v>
      </c>
      <c r="C1631" s="5" t="s">
        <v>17</v>
      </c>
      <c r="D1631" s="6">
        <v>4675.2</v>
      </c>
      <c r="E1631" s="6">
        <v>932</v>
      </c>
      <c r="F1631" s="9">
        <v>0.8</v>
      </c>
      <c r="H1631" s="11"/>
      <c r="I1631" s="11"/>
      <c r="J1631" s="11"/>
    </row>
    <row r="1632" spans="1:10" ht="15.75" x14ac:dyDescent="0.3">
      <c r="A1632" s="12" t="str">
        <f>HYPERLINK("https://parts-sales.ru/parts/MAN/51262186008","51.26218-6008")</f>
        <v>51.26218-6008</v>
      </c>
      <c r="B1632" s="12" t="str">
        <f>HYPERLINK("https://parts-sales.ru/parts/MAN/51262186008","Пружинная шайба")</f>
        <v>Пружинная шайба</v>
      </c>
      <c r="C1632" s="3" t="s">
        <v>17</v>
      </c>
      <c r="D1632" s="4">
        <v>715.2</v>
      </c>
      <c r="E1632" s="4">
        <v>199</v>
      </c>
      <c r="F1632" s="8">
        <v>0.72</v>
      </c>
      <c r="H1632" s="11"/>
      <c r="I1632" s="11"/>
      <c r="J1632" s="11"/>
    </row>
    <row r="1633" spans="1:10" ht="15.75" x14ac:dyDescent="0.3">
      <c r="A1633" s="13" t="str">
        <f>HYPERLINK("https://parts-sales.ru/parts/MAN/51262366003","51.26236-6003")</f>
        <v>51.26236-6003</v>
      </c>
      <c r="B1633" s="13" t="str">
        <f>HYPERLINK("https://parts-sales.ru/parts/MAN/51262366003","Вильчатый рычаг")</f>
        <v>Вильчатый рычаг</v>
      </c>
      <c r="C1633" s="5" t="s">
        <v>17</v>
      </c>
      <c r="D1633" s="6">
        <v>5052</v>
      </c>
      <c r="E1633" s="6">
        <v>1614</v>
      </c>
      <c r="F1633" s="9">
        <v>0.68</v>
      </c>
      <c r="H1633" s="11"/>
      <c r="I1633" s="11"/>
      <c r="J1633" s="11"/>
    </row>
    <row r="1634" spans="1:10" ht="15.75" x14ac:dyDescent="0.3">
      <c r="A1634" s="12" t="str">
        <f>HYPERLINK("https://parts-sales.ru/parts/MAN/51262406005","51.26240-6005")</f>
        <v>51.26240-6005</v>
      </c>
      <c r="B1634" s="12" t="str">
        <f>HYPERLINK("https://parts-sales.ru/parts/MAN/51262406005","Винт крепления в сборе")</f>
        <v>Винт крепления в сборе</v>
      </c>
      <c r="C1634" s="3" t="s">
        <v>17</v>
      </c>
      <c r="D1634" s="4">
        <v>6934.8</v>
      </c>
      <c r="E1634" s="4">
        <v>1345</v>
      </c>
      <c r="F1634" s="8">
        <v>0.81</v>
      </c>
      <c r="H1634" s="11"/>
      <c r="I1634" s="11"/>
      <c r="J1634" s="11"/>
    </row>
    <row r="1635" spans="1:10" ht="15.75" x14ac:dyDescent="0.3">
      <c r="A1635" s="13" t="str">
        <f>HYPERLINK("https://parts-sales.ru/parts/MAN/51262406014","51.26240-6014")</f>
        <v>51.26240-6014</v>
      </c>
      <c r="B1635" s="13" t="str">
        <f>HYPERLINK("https://parts-sales.ru/parts/MAN/51262406014","Крепежный болт длинный")</f>
        <v>Крепежный болт длинный</v>
      </c>
      <c r="C1635" s="5" t="s">
        <v>17</v>
      </c>
      <c r="D1635" s="6">
        <v>4072.8</v>
      </c>
      <c r="E1635" s="6">
        <v>737</v>
      </c>
      <c r="F1635" s="9">
        <v>0.82</v>
      </c>
      <c r="H1635" s="11"/>
      <c r="I1635" s="11"/>
      <c r="J1635" s="11"/>
    </row>
    <row r="1636" spans="1:10" ht="15.75" x14ac:dyDescent="0.3">
      <c r="A1636" s="12" t="str">
        <f>HYPERLINK("https://parts-sales.ru/parts/MAN/51274210205","51.27421-0205")</f>
        <v>51.27421-0205</v>
      </c>
      <c r="B1636" s="12" t="str">
        <f>HYPERLINK("https://parts-sales.ru/parts/MAN/51274210205","Датчик давления 15 Bar")</f>
        <v>Датчик давления 15 Bar</v>
      </c>
      <c r="C1636" s="3" t="s">
        <v>17</v>
      </c>
      <c r="D1636" s="4">
        <v>50835.6</v>
      </c>
      <c r="E1636" s="4">
        <v>12944</v>
      </c>
      <c r="F1636" s="8">
        <v>0.75</v>
      </c>
      <c r="H1636" s="11"/>
      <c r="I1636" s="11"/>
      <c r="J1636" s="11"/>
    </row>
    <row r="1637" spans="1:10" ht="15.75" x14ac:dyDescent="0.3">
      <c r="A1637" s="13" t="str">
        <f>HYPERLINK("https://parts-sales.ru/parts/MAN/51274210259","51.27421-0259")</f>
        <v>51.27421-0259</v>
      </c>
      <c r="B1637" s="13" t="str">
        <f>HYPERLINK("https://parts-sales.ru/parts/MAN/51274210259","Сенсор Распред.мех-м системы зажиг-я")</f>
        <v>Сенсор Распред.мех-м системы зажиг-я</v>
      </c>
      <c r="C1637" s="5" t="s">
        <v>17</v>
      </c>
      <c r="D1637" s="6">
        <v>6919.2</v>
      </c>
      <c r="E1637" s="6">
        <v>1547</v>
      </c>
      <c r="F1637" s="9">
        <v>0.78</v>
      </c>
      <c r="H1637" s="11"/>
      <c r="I1637" s="11"/>
      <c r="J1637" s="11"/>
    </row>
    <row r="1638" spans="1:10" ht="15.75" x14ac:dyDescent="0.3">
      <c r="A1638" s="12" t="str">
        <f>HYPERLINK("https://parts-sales.ru/parts/MAN/51274210264","51.27421-0264")</f>
        <v>51.27421-0264</v>
      </c>
      <c r="B1638" s="12" t="str">
        <f>HYPERLINK("https://parts-sales.ru/parts/MAN/51274210264","Датчик давления DS-K-TF-CNG")</f>
        <v>Датчик давления DS-K-TF-CNG</v>
      </c>
      <c r="C1638" s="3" t="s">
        <v>17</v>
      </c>
      <c r="D1638" s="4">
        <v>29391.599999999999</v>
      </c>
      <c r="E1638" s="4">
        <v>5772</v>
      </c>
      <c r="F1638" s="8">
        <v>0.8</v>
      </c>
      <c r="H1638" s="11"/>
      <c r="I1638" s="11"/>
      <c r="J1638" s="11"/>
    </row>
    <row r="1639" spans="1:10" ht="15.75" x14ac:dyDescent="0.3">
      <c r="A1639" s="13" t="str">
        <f>HYPERLINK("https://parts-sales.ru/parts/MAN/51274210299","51.27421-0299")</f>
        <v>51.27421-0299</v>
      </c>
      <c r="B1639" s="13" t="str">
        <f>HYPERLINK("https://parts-sales.ru/parts/MAN/51274210299","Зонд для изм. уровня жидкости")</f>
        <v>Зонд для изм. уровня жидкости</v>
      </c>
      <c r="C1639" s="5" t="s">
        <v>17</v>
      </c>
      <c r="D1639" s="6">
        <v>158469.6</v>
      </c>
      <c r="E1639" s="6">
        <v>20739</v>
      </c>
      <c r="F1639" s="9">
        <v>0.87</v>
      </c>
      <c r="H1639" s="11"/>
      <c r="I1639" s="11"/>
      <c r="J1639" s="11"/>
    </row>
    <row r="1640" spans="1:10" ht="15.75" x14ac:dyDescent="0.3">
      <c r="A1640" s="12" t="str">
        <f>HYPERLINK("https://parts-sales.ru/parts/MAN/51274217012","51.27421-7012")</f>
        <v>51.27421-7012</v>
      </c>
      <c r="B1640" s="12" t="str">
        <f>HYPERLINK("https://parts-sales.ru/parts/MAN/51274217012","Комплект деталей сенсор")</f>
        <v>Комплект деталей сенсор</v>
      </c>
      <c r="C1640" s="3" t="s">
        <v>17</v>
      </c>
      <c r="D1640" s="4">
        <v>38821.199999999997</v>
      </c>
      <c r="E1640" s="4">
        <v>8688</v>
      </c>
      <c r="F1640" s="8">
        <v>0.78</v>
      </c>
      <c r="H1640" s="11"/>
      <c r="I1640" s="11"/>
      <c r="J1640" s="11"/>
    </row>
    <row r="1641" spans="1:10" ht="15.75" x14ac:dyDescent="0.3">
      <c r="A1641" s="13" t="str">
        <f>HYPERLINK("https://parts-sales.ru/parts/MAN/51391150021","51.39115-0021")</f>
        <v>51.39115-0021</v>
      </c>
      <c r="B1641" s="13" t="str">
        <f>HYPERLINK("https://parts-sales.ru/parts/MAN/51391150021","Фланец со стороны привода для вспомогате")</f>
        <v>Фланец со стороны привода для вспомогате</v>
      </c>
      <c r="C1641" s="5" t="s">
        <v>17</v>
      </c>
      <c r="D1641" s="6">
        <v>24462</v>
      </c>
      <c r="E1641" s="6">
        <v>4778</v>
      </c>
      <c r="F1641" s="9">
        <v>0.8</v>
      </c>
      <c r="H1641" s="11"/>
      <c r="I1641" s="11"/>
      <c r="J1641" s="11"/>
    </row>
    <row r="1642" spans="1:10" ht="15.75" x14ac:dyDescent="0.3">
      <c r="A1642" s="12" t="str">
        <f>HYPERLINK("https://parts-sales.ru/parts/MAN/51415010248","51.41501-0248")</f>
        <v>51.41501-0248</v>
      </c>
      <c r="B1642" s="12" t="str">
        <f>HYPERLINK("https://parts-sales.ru/parts/MAN/51415010248","Опора двигателя")</f>
        <v>Опора двигателя</v>
      </c>
      <c r="C1642" s="3" t="s">
        <v>17</v>
      </c>
      <c r="D1642" s="4">
        <v>14103.6</v>
      </c>
      <c r="E1642" s="4">
        <v>1177</v>
      </c>
      <c r="F1642" s="8">
        <v>0.92</v>
      </c>
      <c r="H1642" s="11"/>
      <c r="I1642" s="11"/>
      <c r="J1642" s="11"/>
    </row>
    <row r="1643" spans="1:10" ht="15.75" x14ac:dyDescent="0.3">
      <c r="A1643" s="13" t="str">
        <f>HYPERLINK("https://parts-sales.ru/parts/MAN/51415010249","51.41501-0249")</f>
        <v>51.41501-0249</v>
      </c>
      <c r="B1643" s="13" t="str">
        <f>HYPERLINK("https://parts-sales.ru/parts/MAN/51415010249","Опора двигателя")</f>
        <v>Опора двигателя</v>
      </c>
      <c r="C1643" s="5" t="s">
        <v>17</v>
      </c>
      <c r="D1643" s="6">
        <v>2855.24</v>
      </c>
      <c r="E1643" s="6">
        <v>1712</v>
      </c>
      <c r="F1643" s="9">
        <v>0.4</v>
      </c>
      <c r="H1643" s="11"/>
      <c r="I1643" s="11"/>
      <c r="J1643" s="11"/>
    </row>
    <row r="1644" spans="1:10" ht="15.75" x14ac:dyDescent="0.3">
      <c r="A1644" s="12" t="str">
        <f>HYPERLINK("https://parts-sales.ru/parts/MAN/51512016000","51.51201-6000")</f>
        <v>51.51201-6000</v>
      </c>
      <c r="B1644" s="12" t="str">
        <f>HYPERLINK("https://parts-sales.ru/parts/MAN/51512016000","Тормозной провод 16x1,5x1239,8")</f>
        <v>Тормозной провод 16x1,5x1239,8</v>
      </c>
      <c r="C1644" s="3" t="s">
        <v>17</v>
      </c>
      <c r="D1644" s="4">
        <v>20921.240000000002</v>
      </c>
      <c r="E1644" s="4">
        <v>13976</v>
      </c>
      <c r="F1644" s="8">
        <v>0.33</v>
      </c>
      <c r="H1644" s="11"/>
      <c r="I1644" s="11"/>
      <c r="J1644" s="11"/>
    </row>
    <row r="1645" spans="1:10" ht="15.75" x14ac:dyDescent="0.3">
      <c r="A1645" s="13" t="str">
        <f>HYPERLINK("https://parts-sales.ru/parts/MAN/51521600013","51.52160-0013")</f>
        <v>51.52160-0013</v>
      </c>
      <c r="B1645" s="13" t="str">
        <f>HYPERLINK("https://parts-sales.ru/parts/MAN/51521600013","Магнитный клапан")</f>
        <v>Магнитный клапан</v>
      </c>
      <c r="C1645" s="5" t="s">
        <v>17</v>
      </c>
      <c r="D1645" s="6">
        <v>31755.599999999999</v>
      </c>
      <c r="E1645" s="6">
        <v>7229</v>
      </c>
      <c r="F1645" s="9">
        <v>0.77</v>
      </c>
      <c r="H1645" s="11"/>
      <c r="I1645" s="11"/>
      <c r="J1645" s="11"/>
    </row>
    <row r="1646" spans="1:10" ht="15.75" x14ac:dyDescent="0.3">
      <c r="A1646" s="12" t="str">
        <f>HYPERLINK("https://parts-sales.ru/parts/MAN/51541007392","51.54100-7392")</f>
        <v>51.54100-7392</v>
      </c>
      <c r="B1646" s="12" t="str">
        <f>HYPERLINK("https://parts-sales.ru/parts/MAN/51541007392","Компрессор 1-цилиндровый (51.54100-7247)")</f>
        <v>Компрессор 1-цилиндровый (51.54100-7247)</v>
      </c>
      <c r="C1646" s="3" t="s">
        <v>17</v>
      </c>
      <c r="D1646" s="4">
        <v>186470.28</v>
      </c>
      <c r="E1646" s="4">
        <v>62914</v>
      </c>
      <c r="F1646" s="8">
        <v>0.66</v>
      </c>
      <c r="H1646" s="11"/>
      <c r="I1646" s="11"/>
      <c r="J1646" s="11"/>
    </row>
    <row r="1647" spans="1:10" ht="15.75" x14ac:dyDescent="0.3">
      <c r="A1647" s="13" t="str">
        <f>HYPERLINK("https://parts-sales.ru/parts/MAN/51541146094","51.54114-6094")</f>
        <v>51.54114-6094</v>
      </c>
      <c r="B1647" s="13" t="str">
        <f>HYPERLINK("https://parts-sales.ru/parts/MAN/51541146094","Головка блока цилиндра")</f>
        <v>Головка блока цилиндра</v>
      </c>
      <c r="C1647" s="5" t="s">
        <v>17</v>
      </c>
      <c r="D1647" s="6">
        <v>36470.400000000001</v>
      </c>
      <c r="E1647" s="6">
        <v>10857</v>
      </c>
      <c r="F1647" s="9">
        <v>0.7</v>
      </c>
      <c r="H1647" s="11"/>
      <c r="I1647" s="11"/>
      <c r="J1647" s="11"/>
    </row>
    <row r="1648" spans="1:10" ht="15.75" x14ac:dyDescent="0.3">
      <c r="A1648" s="12" t="str">
        <f>HYPERLINK("https://parts-sales.ru/parts/MAN/51541196003","51.54119-6003")</f>
        <v>51.54119-6003</v>
      </c>
      <c r="B1648" s="12" t="str">
        <f>HYPERLINK("https://parts-sales.ru/parts/MAN/51541196003","Рем компл гильз цилиндров")</f>
        <v>Рем компл гильз цилиндров</v>
      </c>
      <c r="C1648" s="3" t="s">
        <v>17</v>
      </c>
      <c r="D1648" s="4">
        <v>32536.799999999999</v>
      </c>
      <c r="E1648" s="4">
        <v>11115</v>
      </c>
      <c r="F1648" s="8">
        <v>0.66</v>
      </c>
      <c r="H1648" s="11"/>
      <c r="I1648" s="11"/>
      <c r="J1648" s="11"/>
    </row>
    <row r="1649" spans="1:10" ht="15.75" x14ac:dyDescent="0.3">
      <c r="A1649" s="13" t="str">
        <f>HYPERLINK("https://parts-sales.ru/parts/MAN/51541196009","51.54119-6009")</f>
        <v>51.54119-6009</v>
      </c>
      <c r="B1649" s="13" t="str">
        <f>HYPERLINK("https://parts-sales.ru/parts/MAN/51541196009","Поршень компрессора")</f>
        <v>Поршень компрессора</v>
      </c>
      <c r="C1649" s="5" t="s">
        <v>17</v>
      </c>
      <c r="D1649" s="6">
        <v>67990.8</v>
      </c>
      <c r="E1649" s="6">
        <v>17691</v>
      </c>
      <c r="F1649" s="9">
        <v>0.74</v>
      </c>
      <c r="H1649" s="11"/>
      <c r="I1649" s="11"/>
      <c r="J1649" s="11"/>
    </row>
    <row r="1650" spans="1:10" ht="15.75" x14ac:dyDescent="0.3">
      <c r="A1650" s="12" t="str">
        <f>HYPERLINK("https://parts-sales.ru/parts/MAN/51541200473","51.54120-0473")</f>
        <v>51.54120-0473</v>
      </c>
      <c r="B1650" s="12" t="str">
        <f>HYPERLINK("https://parts-sales.ru/parts/MAN/51541200473","Изоляция F GUMMIKRUEMMER")</f>
        <v>Изоляция F GUMMIKRUEMMER</v>
      </c>
      <c r="C1650" s="3" t="s">
        <v>17</v>
      </c>
      <c r="D1650" s="4">
        <v>3936</v>
      </c>
      <c r="E1650" s="4">
        <v>932</v>
      </c>
      <c r="F1650" s="8">
        <v>0.76</v>
      </c>
      <c r="H1650" s="11"/>
      <c r="I1650" s="11"/>
      <c r="J1650" s="11"/>
    </row>
    <row r="1651" spans="1:10" ht="15.75" x14ac:dyDescent="0.3">
      <c r="A1651" s="13" t="str">
        <f>HYPERLINK("https://parts-sales.ru/parts/MAN/51542100252","51.54210-0252")</f>
        <v>51.54210-0252</v>
      </c>
      <c r="B1651" s="13" t="str">
        <f>HYPERLINK("https://parts-sales.ru/parts/MAN/51542100252","Ведущее зубчатое колесо")</f>
        <v>Ведущее зубчатое колесо</v>
      </c>
      <c r="C1651" s="5" t="s">
        <v>17</v>
      </c>
      <c r="D1651" s="6">
        <v>62913.599999999999</v>
      </c>
      <c r="E1651" s="6">
        <v>20413</v>
      </c>
      <c r="F1651" s="9">
        <v>0.68</v>
      </c>
      <c r="H1651" s="11"/>
      <c r="I1651" s="11"/>
      <c r="J1651" s="11"/>
    </row>
    <row r="1652" spans="1:10" ht="15.75" x14ac:dyDescent="0.3">
      <c r="A1652" s="12" t="str">
        <f>HYPERLINK("https://parts-sales.ru/parts/MAN/51549010027","51.54901-0027")</f>
        <v>51.54901-0027</v>
      </c>
      <c r="B1652" s="12" t="str">
        <f>HYPERLINK("https://parts-sales.ru/parts/MAN/51549010027","Уплотнение без асбеста")</f>
        <v>Уплотнение без асбеста</v>
      </c>
      <c r="C1652" s="3" t="s">
        <v>17</v>
      </c>
      <c r="D1652" s="4">
        <v>1767.6</v>
      </c>
      <c r="E1652" s="4">
        <v>464</v>
      </c>
      <c r="F1652" s="8">
        <v>0.74</v>
      </c>
      <c r="H1652" s="11"/>
      <c r="I1652" s="11"/>
      <c r="J1652" s="11"/>
    </row>
    <row r="1653" spans="1:10" ht="15.75" x14ac:dyDescent="0.3">
      <c r="A1653" s="13" t="str">
        <f>HYPERLINK("https://parts-sales.ru/parts/MAN/51549010042","51.54901-0042")</f>
        <v>51.54901-0042</v>
      </c>
      <c r="B1653" s="13" t="str">
        <f>HYPERLINK("https://parts-sales.ru/parts/MAN/51549010042","Уплотнение головки цилиндра Компрессор")</f>
        <v>Уплотнение головки цилиндра Компрессор</v>
      </c>
      <c r="C1653" s="5" t="s">
        <v>17</v>
      </c>
      <c r="D1653" s="6">
        <v>9019.2000000000007</v>
      </c>
      <c r="E1653" s="6">
        <v>1981</v>
      </c>
      <c r="F1653" s="9">
        <v>0.78</v>
      </c>
      <c r="H1653" s="11"/>
      <c r="I1653" s="11"/>
      <c r="J1653" s="11"/>
    </row>
    <row r="1654" spans="1:10" ht="15.75" x14ac:dyDescent="0.3">
      <c r="A1654" s="12" t="str">
        <f>HYPERLINK("https://parts-sales.ru/parts/MAN/51549016002","51.54901-6002")</f>
        <v>51.54901-6002</v>
      </c>
      <c r="B1654" s="12" t="str">
        <f>HYPERLINK("https://parts-sales.ru/parts/MAN/51549016002","Уплотнительный комплект Корпус воздушног")</f>
        <v>Уплотнительный комплект Корпус воздушног</v>
      </c>
      <c r="C1654" s="3" t="s">
        <v>17</v>
      </c>
      <c r="D1654" s="4">
        <v>23581.200000000001</v>
      </c>
      <c r="E1654" s="4">
        <v>4782</v>
      </c>
      <c r="F1654" s="8">
        <v>0.8</v>
      </c>
      <c r="H1654" s="11"/>
      <c r="I1654" s="11"/>
      <c r="J1654" s="11"/>
    </row>
    <row r="1655" spans="1:10" ht="15.75" x14ac:dyDescent="0.3">
      <c r="A1655" s="13" t="str">
        <f>HYPERLINK("https://parts-sales.ru/parts/MAN/51900010156","51.90001-0156")</f>
        <v>51.90001-0156</v>
      </c>
      <c r="B1655" s="13" t="str">
        <f>HYPERLINK("https://parts-sales.ru/parts/MAN/51900010156","Винт с 6-гранной головкой M10X65-SD-HOCH")</f>
        <v>Винт с 6-гранной головкой M10X65-SD-HOCH</v>
      </c>
      <c r="C1655" s="5" t="s">
        <v>17</v>
      </c>
      <c r="D1655" s="6">
        <v>1927.2</v>
      </c>
      <c r="E1655" s="6">
        <v>444</v>
      </c>
      <c r="F1655" s="9">
        <v>0.77</v>
      </c>
      <c r="H1655" s="11"/>
      <c r="I1655" s="11"/>
      <c r="J1655" s="11"/>
    </row>
    <row r="1656" spans="1:10" ht="15.75" x14ac:dyDescent="0.3">
      <c r="A1656" s="12" t="str">
        <f>HYPERLINK("https://parts-sales.ru/parts/MAN/51900010183","51.90001-0183")</f>
        <v>51.90001-0183</v>
      </c>
      <c r="B1656" s="12" t="str">
        <f>HYPERLINK("https://parts-sales.ru/parts/MAN/51900010183","Винт с 6-гранной головкой M10X75-SD-HOCH")</f>
        <v>Винт с 6-гранной головкой M10X75-SD-HOCH</v>
      </c>
      <c r="C1656" s="3" t="s">
        <v>17</v>
      </c>
      <c r="D1656" s="4">
        <v>1906.8</v>
      </c>
      <c r="E1656" s="4">
        <v>488</v>
      </c>
      <c r="F1656" s="8">
        <v>0.74</v>
      </c>
      <c r="H1656" s="11"/>
      <c r="I1656" s="11"/>
      <c r="J1656" s="11"/>
    </row>
    <row r="1657" spans="1:10" ht="15.75" x14ac:dyDescent="0.3">
      <c r="A1657" s="13" t="str">
        <f>HYPERLINK("https://parts-sales.ru/parts/MAN/51900010200","51.90001-0200")</f>
        <v>51.90001-0200</v>
      </c>
      <c r="B1657" s="13" t="str">
        <f>HYPERLINK("https://parts-sales.ru/parts/MAN/51900010200","6-гранный установочный винт M12X50X14-8.")</f>
        <v>6-гранный установочный винт M12X50X14-8.</v>
      </c>
      <c r="C1657" s="5" t="s">
        <v>17</v>
      </c>
      <c r="D1657" s="6">
        <v>361.2</v>
      </c>
      <c r="E1657" s="6">
        <v>86</v>
      </c>
      <c r="F1657" s="9">
        <v>0.76</v>
      </c>
      <c r="H1657" s="11"/>
      <c r="I1657" s="11"/>
      <c r="J1657" s="11"/>
    </row>
    <row r="1658" spans="1:10" ht="15.75" x14ac:dyDescent="0.3">
      <c r="A1658" s="12" t="str">
        <f>HYPERLINK("https://parts-sales.ru/parts/MAN/51900200338","51.90020-0338")</f>
        <v>51.90020-0338</v>
      </c>
      <c r="B1658" s="12" t="str">
        <f>HYPERLINK("https://parts-sales.ru/parts/MAN/51900200338","6-гран. лист. податливый винт M14X1,5X67")</f>
        <v>6-гран. лист. податливый винт M14X1,5X67</v>
      </c>
      <c r="C1658" s="3" t="s">
        <v>17</v>
      </c>
      <c r="D1658" s="4">
        <v>4246.8</v>
      </c>
      <c r="E1658" s="4">
        <v>930</v>
      </c>
      <c r="F1658" s="8">
        <v>0.78</v>
      </c>
      <c r="H1658" s="11"/>
      <c r="I1658" s="11"/>
      <c r="J1658" s="11"/>
    </row>
    <row r="1659" spans="1:10" ht="15.75" x14ac:dyDescent="0.3">
      <c r="A1659" s="13" t="str">
        <f>HYPERLINK("https://parts-sales.ru/parts/MAN/51900200375","51.90020-0375")</f>
        <v>51.90020-0375</v>
      </c>
      <c r="B1659" s="13" t="str">
        <f>HYPERLINK("https://parts-sales.ru/parts/MAN/51900200375","6-гранный наборный винт M8X43,5-8.8-CR")</f>
        <v>6-гранный наборный винт M8X43,5-8.8-CR</v>
      </c>
      <c r="C1659" s="5" t="s">
        <v>17</v>
      </c>
      <c r="D1659" s="6">
        <v>754.8</v>
      </c>
      <c r="E1659" s="6">
        <v>246</v>
      </c>
      <c r="F1659" s="9">
        <v>0.67</v>
      </c>
      <c r="H1659" s="11"/>
      <c r="I1659" s="11"/>
      <c r="J1659" s="11"/>
    </row>
    <row r="1660" spans="1:10" ht="15.75" x14ac:dyDescent="0.3">
      <c r="A1660" s="12" t="str">
        <f>HYPERLINK("https://parts-sales.ru/parts/MAN/51900200384","51.90020-0384")</f>
        <v>51.90020-0384</v>
      </c>
      <c r="B1660" s="12" t="str">
        <f>HYPERLINK("https://parts-sales.ru/parts/MAN/51900200384","6-гранный наборный винт M18X1,5X80-10.9")</f>
        <v>6-гранный наборный винт M18X1,5X80-10.9</v>
      </c>
      <c r="C1660" s="3" t="s">
        <v>17</v>
      </c>
      <c r="D1660" s="4">
        <v>5157.6000000000004</v>
      </c>
      <c r="E1660" s="4">
        <v>837</v>
      </c>
      <c r="F1660" s="8">
        <v>0.84</v>
      </c>
      <c r="H1660" s="11"/>
      <c r="I1660" s="11"/>
      <c r="J1660" s="11"/>
    </row>
    <row r="1661" spans="1:10" ht="15.75" x14ac:dyDescent="0.3">
      <c r="A1661" s="13" t="str">
        <f>HYPERLINK("https://parts-sales.ru/parts/MAN/51900200403","51.90020-0403")</f>
        <v>51.90020-0403</v>
      </c>
      <c r="B1661" s="13" t="str">
        <f>HYPERLINK("https://parts-sales.ru/parts/MAN/51900200403","Болт M16X2X287,3-1200N/MM2-E20-MAN1")</f>
        <v>Болт M16X2X287,3-1200N/MM2-E20-MAN1</v>
      </c>
      <c r="C1661" s="5" t="s">
        <v>17</v>
      </c>
      <c r="D1661" s="6">
        <v>3968.4</v>
      </c>
      <c r="E1661" s="6">
        <v>887</v>
      </c>
      <c r="F1661" s="9">
        <v>0.78</v>
      </c>
      <c r="H1661" s="11"/>
      <c r="I1661" s="11"/>
      <c r="J1661" s="11"/>
    </row>
    <row r="1662" spans="1:10" ht="15.75" x14ac:dyDescent="0.3">
      <c r="A1662" s="12" t="str">
        <f>HYPERLINK("https://parts-sales.ru/parts/MAN/51900200404","51.90020-0404")</f>
        <v>51.90020-0404</v>
      </c>
      <c r="B1662" s="12" t="str">
        <f>HYPERLINK("https://parts-sales.ru/parts/MAN/51900200404","Болт M16X2X225,8-1200N/MM2-E20-MAN1")</f>
        <v>Болт M16X2X225,8-1200N/MM2-E20-MAN1</v>
      </c>
      <c r="C1662" s="3" t="s">
        <v>17</v>
      </c>
      <c r="D1662" s="4">
        <v>2938.8</v>
      </c>
      <c r="E1662" s="4">
        <v>609</v>
      </c>
      <c r="F1662" s="8">
        <v>0.79</v>
      </c>
      <c r="H1662" s="11"/>
      <c r="I1662" s="11"/>
      <c r="J1662" s="11"/>
    </row>
    <row r="1663" spans="1:10" ht="15.75" x14ac:dyDescent="0.3">
      <c r="A1663" s="13" t="str">
        <f>HYPERLINK("https://parts-sales.ru/parts/MAN/51900200418","51.90020-0418")</f>
        <v>51.90020-0418</v>
      </c>
      <c r="B1663" s="13" t="str">
        <f>HYPERLINK("https://parts-sales.ru/parts/MAN/51900200418","6-гранный наборный винт M8X100-10.9-MAN1")</f>
        <v>6-гранный наборный винт M8X100-10.9-MAN1</v>
      </c>
      <c r="C1663" s="5" t="s">
        <v>17</v>
      </c>
      <c r="D1663" s="6">
        <v>1264.8</v>
      </c>
      <c r="E1663" s="6">
        <v>243</v>
      </c>
      <c r="F1663" s="9">
        <v>0.81</v>
      </c>
      <c r="H1663" s="11"/>
      <c r="I1663" s="11"/>
      <c r="J1663" s="11"/>
    </row>
    <row r="1664" spans="1:10" ht="15.75" x14ac:dyDescent="0.3">
      <c r="A1664" s="12" t="str">
        <f>HYPERLINK("https://parts-sales.ru/parts/MAN/51900210004","51.90021-0004")</f>
        <v>51.90021-0004</v>
      </c>
      <c r="B1664" s="12" t="str">
        <f>HYPERLINK("https://parts-sales.ru/parts/MAN/51900210004","Болт с буртиком M16X1,5X65,5-10.9")</f>
        <v>Болт с буртиком M16X1,5X65,5-10.9</v>
      </c>
      <c r="C1664" s="3" t="s">
        <v>17</v>
      </c>
      <c r="D1664" s="4">
        <v>2782.8</v>
      </c>
      <c r="E1664" s="4">
        <v>647</v>
      </c>
      <c r="F1664" s="8">
        <v>0.77</v>
      </c>
      <c r="H1664" s="11"/>
      <c r="I1664" s="11"/>
      <c r="J1664" s="11"/>
    </row>
    <row r="1665" spans="1:10" ht="15.75" x14ac:dyDescent="0.3">
      <c r="A1665" s="13" t="str">
        <f>HYPERLINK("https://parts-sales.ru/parts/MAN/51900300083","51.90030-0083")</f>
        <v>51.90030-0083</v>
      </c>
      <c r="B1665" s="13" t="str">
        <f>HYPERLINK("https://parts-sales.ru/parts/MAN/51900300083","Винт с цилиндрической головкой M8X20-GA-")</f>
        <v>Винт с цилиндрической головкой M8X20-GA-</v>
      </c>
      <c r="C1665" s="5" t="s">
        <v>17</v>
      </c>
      <c r="D1665" s="6">
        <v>664.8</v>
      </c>
      <c r="E1665" s="6">
        <v>366</v>
      </c>
      <c r="F1665" s="9">
        <v>0.45</v>
      </c>
      <c r="H1665" s="11"/>
      <c r="I1665" s="11"/>
      <c r="J1665" s="11"/>
    </row>
    <row r="1666" spans="1:10" ht="15.75" x14ac:dyDescent="0.3">
      <c r="A1666" s="12" t="str">
        <f>HYPERLINK("https://parts-sales.ru/parts/MAN/51900300112","51.90030-0112")</f>
        <v>51.90030-0112</v>
      </c>
      <c r="B1666" s="12" t="str">
        <f>HYPERLINK("https://parts-sales.ru/parts/MAN/51900300112","Винт с цилиндрической головкой")</f>
        <v>Винт с цилиндрической головкой</v>
      </c>
      <c r="C1666" s="3" t="s">
        <v>17</v>
      </c>
      <c r="D1666" s="4">
        <v>4636.8</v>
      </c>
      <c r="E1666" s="4">
        <v>861</v>
      </c>
      <c r="F1666" s="8">
        <v>0.81</v>
      </c>
      <c r="H1666" s="11"/>
      <c r="I1666" s="11"/>
      <c r="J1666" s="11"/>
    </row>
    <row r="1667" spans="1:10" ht="15.75" x14ac:dyDescent="0.3">
      <c r="A1667" s="13" t="str">
        <f>HYPERLINK("https://parts-sales.ru/parts/MAN/51903100219","51.90310-0219")</f>
        <v>51.90310-0219</v>
      </c>
      <c r="B1667" s="13" t="str">
        <f>HYPERLINK("https://parts-sales.ru/parts/MAN/51903100219","Резьбовая заглушка M14X1,5X24-ST-MAN183-")</f>
        <v>Резьбовая заглушка M14X1,5X24-ST-MAN183-</v>
      </c>
      <c r="C1667" s="5" t="s">
        <v>17</v>
      </c>
      <c r="D1667" s="6">
        <v>2041.2</v>
      </c>
      <c r="E1667" s="6">
        <v>261</v>
      </c>
      <c r="F1667" s="9">
        <v>0.87</v>
      </c>
      <c r="H1667" s="11"/>
      <c r="I1667" s="11"/>
      <c r="J1667" s="11"/>
    </row>
    <row r="1668" spans="1:10" ht="15.75" x14ac:dyDescent="0.3">
      <c r="A1668" s="12" t="str">
        <f>HYPERLINK("https://parts-sales.ru/parts/MAN/51903100259","51.90310-0259")</f>
        <v>51.90310-0259</v>
      </c>
      <c r="B1668" s="12" t="str">
        <f>HYPERLINK("https://parts-sales.ru/parts/MAN/51903100259","Резьбовая заглушка M32X1,5X22-ST-MAN183-")</f>
        <v>Резьбовая заглушка M32X1,5X22-ST-MAN183-</v>
      </c>
      <c r="C1668" s="3" t="s">
        <v>17</v>
      </c>
      <c r="D1668" s="4">
        <v>2904</v>
      </c>
      <c r="E1668" s="4">
        <v>637</v>
      </c>
      <c r="F1668" s="8">
        <v>0.78</v>
      </c>
      <c r="H1668" s="11"/>
      <c r="I1668" s="11"/>
      <c r="J1668" s="11"/>
    </row>
    <row r="1669" spans="1:10" ht="15.75" x14ac:dyDescent="0.3">
      <c r="A1669" s="13" t="str">
        <f>HYPERLINK("https://parts-sales.ru/parts/MAN/51903100265","51.90310-0265")</f>
        <v>51.90310-0265</v>
      </c>
      <c r="B1669" s="13" t="str">
        <f>HYPERLINK("https://parts-sales.ru/parts/MAN/51903100265","Резьбовая заглушка M14X1,5X12-ST-M.BOHRU")</f>
        <v>Резьбовая заглушка M14X1,5X12-ST-M.BOHRU</v>
      </c>
      <c r="C1669" s="5" t="s">
        <v>17</v>
      </c>
      <c r="D1669" s="6">
        <v>1857.6</v>
      </c>
      <c r="E1669" s="6">
        <v>407</v>
      </c>
      <c r="F1669" s="9">
        <v>0.78</v>
      </c>
      <c r="H1669" s="11"/>
      <c r="I1669" s="11"/>
      <c r="J1669" s="11"/>
    </row>
    <row r="1670" spans="1:10" ht="15.75" x14ac:dyDescent="0.3">
      <c r="A1670" s="12" t="str">
        <f>HYPERLINK("https://parts-sales.ru/parts/MAN/51903106013","51.90310-6013")</f>
        <v>51.90310-6013</v>
      </c>
      <c r="B1670" s="12" t="str">
        <f>HYPERLINK("https://parts-sales.ru/parts/MAN/51903106013","Резьб. пробка слив. отверстия")</f>
        <v>Резьб. пробка слив. отверстия</v>
      </c>
      <c r="C1670" s="3" t="s">
        <v>17</v>
      </c>
      <c r="D1670" s="4">
        <v>814.8</v>
      </c>
      <c r="E1670" s="4">
        <v>188</v>
      </c>
      <c r="F1670" s="8">
        <v>0.77</v>
      </c>
      <c r="H1670" s="11"/>
      <c r="I1670" s="11"/>
      <c r="J1670" s="11"/>
    </row>
    <row r="1671" spans="1:10" ht="15.75" x14ac:dyDescent="0.3">
      <c r="A1671" s="13" t="str">
        <f>HYPERLINK("https://parts-sales.ru/parts/MAN/51904410128","51.90441-0128")</f>
        <v>51.90441-0128</v>
      </c>
      <c r="B1671" s="13" t="str">
        <f>HYPERLINK("https://parts-sales.ru/parts/MAN/51904410128","Рым-болт M12X150X14X12,5-6.8-SCHLUSSG.-")</f>
        <v>Рым-болт M12X150X14X12,5-6.8-SCHLUSSG.-</v>
      </c>
      <c r="C1671" s="5" t="s">
        <v>17</v>
      </c>
      <c r="D1671" s="6">
        <v>8370</v>
      </c>
      <c r="E1671" s="6">
        <v>1667</v>
      </c>
      <c r="F1671" s="9">
        <v>0.8</v>
      </c>
      <c r="H1671" s="11"/>
      <c r="I1671" s="11"/>
      <c r="J1671" s="11"/>
    </row>
    <row r="1672" spans="1:10" ht="15.75" x14ac:dyDescent="0.3">
      <c r="A1672" s="12" t="str">
        <f>HYPERLINK("https://parts-sales.ru/parts/MAN/51904900027","51.90490-0027")</f>
        <v>51.90490-0027</v>
      </c>
      <c r="B1672" s="12" t="str">
        <f>HYPERLINK("https://parts-sales.ru/parts/MAN/51904900027","Болт M8X65,5AK-8.8-E12-FEZN12CD")</f>
        <v>Болт M8X65,5AK-8.8-E12-FEZN12CD</v>
      </c>
      <c r="C1672" s="3" t="s">
        <v>17</v>
      </c>
      <c r="D1672" s="4">
        <v>691.2</v>
      </c>
      <c r="E1672" s="4">
        <v>235</v>
      </c>
      <c r="F1672" s="8">
        <v>0.66</v>
      </c>
      <c r="H1672" s="11"/>
      <c r="I1672" s="11"/>
      <c r="J1672" s="11"/>
    </row>
    <row r="1673" spans="1:10" ht="15.75" x14ac:dyDescent="0.3">
      <c r="A1673" s="13" t="str">
        <f>HYPERLINK("https://parts-sales.ru/parts/MAN/51904900041","51.90490-0041")</f>
        <v>51.90490-0041</v>
      </c>
      <c r="B1673" s="13" t="str">
        <f>HYPERLINK("https://parts-sales.ru/parts/MAN/51904900041","Болт M15X2X259,5-1200N/MM2-E20-ZNPH")</f>
        <v>Болт M15X2X259,5-1200N/MM2-E20-ZNPH</v>
      </c>
      <c r="C1673" s="5" t="s">
        <v>17</v>
      </c>
      <c r="D1673" s="6">
        <v>1354.74</v>
      </c>
      <c r="E1673" s="6">
        <v>798</v>
      </c>
      <c r="F1673" s="9">
        <v>0.41</v>
      </c>
      <c r="H1673" s="11"/>
      <c r="I1673" s="11"/>
      <c r="J1673" s="11"/>
    </row>
    <row r="1674" spans="1:10" ht="15.75" x14ac:dyDescent="0.3">
      <c r="A1674" s="12" t="str">
        <f>HYPERLINK("https://parts-sales.ru/parts/MAN/51904900042","51.90490-0042")</f>
        <v>51.90490-0042</v>
      </c>
      <c r="B1674" s="12" t="str">
        <f>HYPERLINK("https://parts-sales.ru/parts/MAN/51904900042","Болт M15X2X198-E20-ZNPHR5-12F")</f>
        <v>Болт M15X2X198-E20-ZNPHR5-12F</v>
      </c>
      <c r="C1674" s="3" t="s">
        <v>17</v>
      </c>
      <c r="D1674" s="4">
        <v>2750.4</v>
      </c>
      <c r="E1674" s="4">
        <v>714</v>
      </c>
      <c r="F1674" s="8">
        <v>0.74</v>
      </c>
      <c r="H1674" s="11"/>
      <c r="I1674" s="11"/>
      <c r="J1674" s="11"/>
    </row>
    <row r="1675" spans="1:10" ht="15.75" x14ac:dyDescent="0.3">
      <c r="A1675" s="13" t="str">
        <f>HYPERLINK("https://parts-sales.ru/parts/MAN/51904900068","51.90490-0068")</f>
        <v>51.90490-0068</v>
      </c>
      <c r="B1675" s="13" t="str">
        <f>HYPERLINK("https://parts-sales.ru/parts/MAN/51904900068","Болт M8X65-1.7709-E12-GA-WARMFEST")</f>
        <v>Болт M8X65-1.7709-E12-GA-WARMFEST</v>
      </c>
      <c r="C1675" s="5" t="s">
        <v>17</v>
      </c>
      <c r="D1675" s="6">
        <v>1412.4</v>
      </c>
      <c r="E1675" s="6">
        <v>166</v>
      </c>
      <c r="F1675" s="9">
        <v>0.88</v>
      </c>
      <c r="H1675" s="11"/>
      <c r="I1675" s="11"/>
      <c r="J1675" s="11"/>
    </row>
    <row r="1676" spans="1:10" ht="15.75" x14ac:dyDescent="0.3">
      <c r="A1676" s="12" t="str">
        <f>HYPERLINK("https://parts-sales.ru/parts/MAN/51904900091","51.90490-0091")</f>
        <v>51.90490-0091</v>
      </c>
      <c r="B1676" s="12" t="str">
        <f>HYPERLINK("https://parts-sales.ru/parts/MAN/51904900091","Болт M8X95-1.4980-E12-SD-HOCHWARMFE")</f>
        <v>Болт M8X95-1.4980-E12-SD-HOCHWARMFE</v>
      </c>
      <c r="C1676" s="3" t="s">
        <v>17</v>
      </c>
      <c r="D1676" s="4">
        <v>2366.4</v>
      </c>
      <c r="E1676" s="4">
        <v>291</v>
      </c>
      <c r="F1676" s="8">
        <v>0.88</v>
      </c>
      <c r="H1676" s="11"/>
      <c r="I1676" s="11"/>
      <c r="J1676" s="11"/>
    </row>
    <row r="1677" spans="1:10" ht="15.75" x14ac:dyDescent="0.3">
      <c r="A1677" s="13" t="str">
        <f>HYPERLINK("https://parts-sales.ru/parts/MAN/51904900107","51.90490-0107")</f>
        <v>51.90490-0107</v>
      </c>
      <c r="B1677" s="13" t="str">
        <f>HYPERLINK("https://parts-sales.ru/parts/MAN/51904900107","Винт")</f>
        <v>Винт</v>
      </c>
      <c r="C1677" s="5" t="s">
        <v>17</v>
      </c>
      <c r="D1677" s="6">
        <v>724.8</v>
      </c>
      <c r="E1677" s="6">
        <v>164</v>
      </c>
      <c r="F1677" s="9">
        <v>0.77</v>
      </c>
      <c r="H1677" s="11"/>
      <c r="I1677" s="11"/>
      <c r="J1677" s="11"/>
    </row>
    <row r="1678" spans="1:10" ht="15.75" x14ac:dyDescent="0.3">
      <c r="A1678" s="12" t="str">
        <f>HYPERLINK("https://parts-sales.ru/parts/MAN/51904900123","51.90490-0123")</f>
        <v>51.90490-0123</v>
      </c>
      <c r="B1678" s="12" t="str">
        <f>HYPERLINK("https://parts-sales.ru/parts/MAN/51904900123","Винт со сфероцилиндр. головкой")</f>
        <v>Винт со сфероцилиндр. головкой</v>
      </c>
      <c r="C1678" s="3" t="s">
        <v>17</v>
      </c>
      <c r="D1678" s="4">
        <v>698.4</v>
      </c>
      <c r="E1678" s="4">
        <v>145</v>
      </c>
      <c r="F1678" s="8">
        <v>0.79</v>
      </c>
      <c r="H1678" s="11"/>
      <c r="I1678" s="11"/>
      <c r="J1678" s="11"/>
    </row>
    <row r="1679" spans="1:10" ht="15.75" x14ac:dyDescent="0.3">
      <c r="A1679" s="13" t="str">
        <f>HYPERLINK("https://parts-sales.ru/parts/MAN/51904900124","51.90490-0124")</f>
        <v>51.90490-0124</v>
      </c>
      <c r="B1679" s="13" t="str">
        <f>HYPERLINK("https://parts-sales.ru/parts/MAN/51904900124","Винт")</f>
        <v>Винт</v>
      </c>
      <c r="C1679" s="5" t="s">
        <v>17</v>
      </c>
      <c r="D1679" s="6">
        <v>628.79999999999995</v>
      </c>
      <c r="E1679" s="6">
        <v>115</v>
      </c>
      <c r="F1679" s="9">
        <v>0.82</v>
      </c>
      <c r="H1679" s="11"/>
      <c r="I1679" s="11"/>
      <c r="J1679" s="11"/>
    </row>
    <row r="1680" spans="1:10" ht="15.75" x14ac:dyDescent="0.3">
      <c r="A1680" s="12" t="str">
        <f>HYPERLINK("https://parts-sales.ru/parts/MAN/51904900125","51.90490-0125")</f>
        <v>51.90490-0125</v>
      </c>
      <c r="B1680" s="12" t="str">
        <f>HYPERLINK("https://parts-sales.ru/parts/MAN/51904900125","Винт с 6-гранной головкой")</f>
        <v>Винт с 6-гранной головкой</v>
      </c>
      <c r="C1680" s="3" t="s">
        <v>17</v>
      </c>
      <c r="D1680" s="4">
        <v>864</v>
      </c>
      <c r="E1680" s="4">
        <v>176</v>
      </c>
      <c r="F1680" s="8">
        <v>0.8</v>
      </c>
      <c r="H1680" s="11"/>
      <c r="I1680" s="11"/>
      <c r="J1680" s="11"/>
    </row>
    <row r="1681" spans="1:10" ht="15.75" x14ac:dyDescent="0.3">
      <c r="A1681" s="13" t="str">
        <f>HYPERLINK("https://parts-sales.ru/parts/MAN/51904900149","51.90490-0149")</f>
        <v>51.90490-0149</v>
      </c>
      <c r="B1681" s="13" t="str">
        <f>HYPERLINK("https://parts-sales.ru/parts/MAN/51904900149","Винт")</f>
        <v>Винт</v>
      </c>
      <c r="C1681" s="5" t="s">
        <v>17</v>
      </c>
      <c r="D1681" s="6">
        <v>652.75</v>
      </c>
      <c r="E1681" s="6">
        <v>393</v>
      </c>
      <c r="F1681" s="9">
        <v>0.4</v>
      </c>
      <c r="H1681" s="11"/>
      <c r="I1681" s="11"/>
      <c r="J1681" s="11"/>
    </row>
    <row r="1682" spans="1:10" ht="15.75" x14ac:dyDescent="0.3">
      <c r="A1682" s="12" t="str">
        <f>HYPERLINK("https://parts-sales.ru/parts/MAN/51905010096","51.90501-0096")</f>
        <v>51.90501-0096</v>
      </c>
      <c r="B1682" s="12" t="str">
        <f>HYPERLINK("https://parts-sales.ru/parts/MAN/51905010096","Шестигранная гайка")</f>
        <v>Шестигранная гайка</v>
      </c>
      <c r="C1682" s="3" t="s">
        <v>17</v>
      </c>
      <c r="D1682" s="4">
        <v>423.6</v>
      </c>
      <c r="E1682" s="4">
        <v>78</v>
      </c>
      <c r="F1682" s="8">
        <v>0.82</v>
      </c>
      <c r="H1682" s="11"/>
      <c r="I1682" s="11"/>
      <c r="J1682" s="11"/>
    </row>
    <row r="1683" spans="1:10" ht="15.75" x14ac:dyDescent="0.3">
      <c r="A1683" s="13" t="str">
        <f>HYPERLINK("https://parts-sales.ru/parts/MAN/51907010228","51.90701-0228")</f>
        <v>51.90701-0228</v>
      </c>
      <c r="B1683" s="13" t="str">
        <f>HYPERLINK("https://parts-sales.ru/parts/MAN/51907010228","Шайба 15,5X34X0,5-CK67V")</f>
        <v>Шайба 15,5X34X0,5-CK67V</v>
      </c>
      <c r="C1683" s="5" t="s">
        <v>17</v>
      </c>
      <c r="D1683" s="6">
        <v>339.6</v>
      </c>
      <c r="E1683" s="6">
        <v>81</v>
      </c>
      <c r="F1683" s="9">
        <v>0.76</v>
      </c>
      <c r="H1683" s="11"/>
      <c r="I1683" s="11"/>
      <c r="J1683" s="11"/>
    </row>
    <row r="1684" spans="1:10" ht="15.75" x14ac:dyDescent="0.3">
      <c r="A1684" s="12" t="str">
        <f>HYPERLINK("https://parts-sales.ru/parts/MAN/51907010234","51.90701-0234")</f>
        <v>51.90701-0234</v>
      </c>
      <c r="B1684" s="12" t="str">
        <f>HYPERLINK("https://parts-sales.ru/parts/MAN/51907010234","Установочная шайба 32X45D12X1-DIN1544")</f>
        <v>Установочная шайба 32X45D12X1-DIN1544</v>
      </c>
      <c r="C1684" s="3" t="s">
        <v>17</v>
      </c>
      <c r="D1684" s="4">
        <v>943.2</v>
      </c>
      <c r="E1684" s="4">
        <v>213</v>
      </c>
      <c r="F1684" s="8">
        <v>0.77</v>
      </c>
      <c r="H1684" s="11"/>
      <c r="I1684" s="11"/>
      <c r="J1684" s="11"/>
    </row>
    <row r="1685" spans="1:10" ht="15.75" x14ac:dyDescent="0.3">
      <c r="A1685" s="13" t="str">
        <f>HYPERLINK("https://parts-sales.ru/parts/MAN/51907010237","51.90701-0237")</f>
        <v>51.90701-0237</v>
      </c>
      <c r="B1685" s="13" t="str">
        <f>HYPERLINK("https://parts-sales.ru/parts/MAN/51907010237","Распорная шайба 28X42X0,5-CK67-C75")</f>
        <v>Распорная шайба 28X42X0,5-CK67-C75</v>
      </c>
      <c r="C1685" s="5" t="s">
        <v>17</v>
      </c>
      <c r="D1685" s="6">
        <v>759.6</v>
      </c>
      <c r="E1685" s="6">
        <v>176</v>
      </c>
      <c r="F1685" s="9">
        <v>0.77</v>
      </c>
      <c r="H1685" s="11"/>
      <c r="I1685" s="11"/>
      <c r="J1685" s="11"/>
    </row>
    <row r="1686" spans="1:10" ht="15.75" x14ac:dyDescent="0.3">
      <c r="A1686" s="12" t="str">
        <f>HYPERLINK("https://parts-sales.ru/parts/MAN/51907100207","51.90710-0207")</f>
        <v>51.90710-0207</v>
      </c>
      <c r="B1686" s="12" t="str">
        <f>HYPERLINK("https://parts-sales.ru/parts/MAN/51907100207","Распорная шайба 11X21X3-9SMNPB28K")</f>
        <v>Распорная шайба 11X21X3-9SMNPB28K</v>
      </c>
      <c r="C1686" s="3" t="s">
        <v>17</v>
      </c>
      <c r="D1686" s="4">
        <v>691.2</v>
      </c>
      <c r="E1686" s="4">
        <v>159</v>
      </c>
      <c r="F1686" s="8">
        <v>0.77</v>
      </c>
      <c r="H1686" s="11"/>
      <c r="I1686" s="11"/>
      <c r="J1686" s="11"/>
    </row>
    <row r="1687" spans="1:10" ht="15.75" x14ac:dyDescent="0.3">
      <c r="A1687" s="13" t="str">
        <f>HYPERLINK("https://parts-sales.ru/parts/MAN/51907100314","51.90710-0314")</f>
        <v>51.90710-0314</v>
      </c>
      <c r="B1687" s="13" t="str">
        <f>HYPERLINK("https://parts-sales.ru/parts/MAN/51907100314","Шайба 9X19X3-9SMNPB28K")</f>
        <v>Шайба 9X19X3-9SMNPB28K</v>
      </c>
      <c r="C1687" s="5" t="s">
        <v>17</v>
      </c>
      <c r="D1687" s="6">
        <v>568.79999999999995</v>
      </c>
      <c r="E1687" s="6">
        <v>105</v>
      </c>
      <c r="F1687" s="9">
        <v>0.82</v>
      </c>
      <c r="H1687" s="11"/>
      <c r="I1687" s="11"/>
      <c r="J1687" s="11"/>
    </row>
    <row r="1688" spans="1:10" ht="15.75" x14ac:dyDescent="0.3">
      <c r="A1688" s="12" t="str">
        <f>HYPERLINK("https://parts-sales.ru/parts/MAN/51907100359","51.90710-0359")</f>
        <v>51.90710-0359</v>
      </c>
      <c r="B1688" s="12" t="str">
        <f>HYPERLINK("https://parts-sales.ru/parts/MAN/51907100359","Шайба 12,5X24X5-C45K")</f>
        <v>Шайба 12,5X24X5-C45K</v>
      </c>
      <c r="C1688" s="3" t="s">
        <v>17</v>
      </c>
      <c r="D1688" s="4">
        <v>416.4</v>
      </c>
      <c r="E1688" s="4">
        <v>132</v>
      </c>
      <c r="F1688" s="8">
        <v>0.68</v>
      </c>
      <c r="H1688" s="11"/>
      <c r="I1688" s="11"/>
      <c r="J1688" s="11"/>
    </row>
    <row r="1689" spans="1:10" ht="15.75" x14ac:dyDescent="0.3">
      <c r="A1689" s="13" t="str">
        <f>HYPERLINK("https://parts-sales.ru/parts/MAN/51907100371","51.90710-0371")</f>
        <v>51.90710-0371</v>
      </c>
      <c r="B1689" s="13" t="str">
        <f>HYPERLINK("https://parts-sales.ru/parts/MAN/51907100371","Шайба 8,4X19X4-C45K")</f>
        <v>Шайба 8,4X19X4-C45K</v>
      </c>
      <c r="C1689" s="5" t="s">
        <v>17</v>
      </c>
      <c r="D1689" s="6">
        <v>849.6</v>
      </c>
      <c r="E1689" s="6">
        <v>140</v>
      </c>
      <c r="F1689" s="9">
        <v>0.84</v>
      </c>
      <c r="H1689" s="11"/>
      <c r="I1689" s="11"/>
      <c r="J1689" s="11"/>
    </row>
    <row r="1690" spans="1:10" ht="15.75" x14ac:dyDescent="0.3">
      <c r="A1690" s="12" t="str">
        <f>HYPERLINK("https://parts-sales.ru/parts/MAN/51907100423","51.90710-0423")</f>
        <v>51.90710-0423</v>
      </c>
      <c r="B1690" s="12" t="str">
        <f>HYPERLINK("https://parts-sales.ru/parts/MAN/51907100423","Шайба 13X26X6-C45K")</f>
        <v>Шайба 13X26X6-C45K</v>
      </c>
      <c r="C1690" s="3" t="s">
        <v>17</v>
      </c>
      <c r="D1690" s="4">
        <v>924</v>
      </c>
      <c r="E1690" s="4">
        <v>243</v>
      </c>
      <c r="F1690" s="8">
        <v>0.74</v>
      </c>
      <c r="H1690" s="11"/>
      <c r="I1690" s="11"/>
      <c r="J1690" s="11"/>
    </row>
    <row r="1691" spans="1:10" ht="15.75" x14ac:dyDescent="0.3">
      <c r="A1691" s="13" t="str">
        <f>HYPERLINK("https://parts-sales.ru/parts/MAN/51907100530","51.90710-0530")</f>
        <v>51.90710-0530</v>
      </c>
      <c r="B1691" s="13" t="str">
        <f>HYPERLINK("https://parts-sales.ru/parts/MAN/51907100530","Наборная шайба 8,5X14,5X28/11,5X7,5-11SM")</f>
        <v>Наборная шайба 8,5X14,5X28/11,5X7,5-11SM</v>
      </c>
      <c r="C1691" s="5" t="s">
        <v>17</v>
      </c>
      <c r="D1691" s="6">
        <v>1386</v>
      </c>
      <c r="E1691" s="6">
        <v>265</v>
      </c>
      <c r="F1691" s="9">
        <v>0.81</v>
      </c>
      <c r="H1691" s="11"/>
      <c r="I1691" s="11"/>
      <c r="J1691" s="11"/>
    </row>
    <row r="1692" spans="1:10" ht="15.75" x14ac:dyDescent="0.3">
      <c r="A1692" s="12" t="str">
        <f>HYPERLINK("https://parts-sales.ru/parts/MAN/51907100532","51.90710-0532")</f>
        <v>51.90710-0532</v>
      </c>
      <c r="B1692" s="12" t="str">
        <f>HYPERLINK("https://parts-sales.ru/parts/MAN/51907100532","Шайба 9X19X3-9SMNPB28K-MAN183-B7")</f>
        <v>Шайба 9X19X3-9SMNPB28K-MAN183-B7</v>
      </c>
      <c r="C1692" s="3" t="s">
        <v>17</v>
      </c>
      <c r="D1692" s="4">
        <v>298.8</v>
      </c>
      <c r="E1692" s="4">
        <v>102</v>
      </c>
      <c r="F1692" s="8">
        <v>0.66</v>
      </c>
      <c r="H1692" s="11"/>
      <c r="I1692" s="11"/>
      <c r="J1692" s="11"/>
    </row>
    <row r="1693" spans="1:10" ht="15.75" x14ac:dyDescent="0.3">
      <c r="A1693" s="13" t="str">
        <f>HYPERLINK("https://parts-sales.ru/parts/MAN/51907100640","51.90710-0640")</f>
        <v>51.90710-0640</v>
      </c>
      <c r="B1693" s="13" t="str">
        <f>HYPERLINK("https://parts-sales.ru/parts/MAN/51907100640","Шайба 9X19X3")</f>
        <v>Шайба 9X19X3</v>
      </c>
      <c r="C1693" s="5" t="s">
        <v>17</v>
      </c>
      <c r="D1693" s="6">
        <v>675.6</v>
      </c>
      <c r="E1693" s="6">
        <v>135</v>
      </c>
      <c r="F1693" s="9">
        <v>0.8</v>
      </c>
      <c r="H1693" s="11"/>
      <c r="I1693" s="11"/>
      <c r="J1693" s="11"/>
    </row>
    <row r="1694" spans="1:10" ht="15.75" x14ac:dyDescent="0.3">
      <c r="A1694" s="12" t="str">
        <f>HYPERLINK("https://parts-sales.ru/parts/MAN/51907102019","51.90710-2019")</f>
        <v>51.90710-2019</v>
      </c>
      <c r="B1694" s="12" t="str">
        <f>HYPERLINK("https://parts-sales.ru/parts/MAN/51907102019","Шайба 15,1X25X3,5-9SMNPB28K")</f>
        <v>Шайба 15,1X25X3,5-9SMNPB28K</v>
      </c>
      <c r="C1694" s="3" t="s">
        <v>17</v>
      </c>
      <c r="D1694" s="4">
        <v>864</v>
      </c>
      <c r="E1694" s="4">
        <v>166</v>
      </c>
      <c r="F1694" s="8">
        <v>0.81</v>
      </c>
      <c r="H1694" s="11"/>
      <c r="I1694" s="11"/>
      <c r="J1694" s="11"/>
    </row>
    <row r="1695" spans="1:10" ht="15.75" x14ac:dyDescent="0.3">
      <c r="A1695" s="13" t="str">
        <f>HYPERLINK("https://parts-sales.ru/parts/MAN/51907106001","51.90710-6001")</f>
        <v>51.90710-6001</v>
      </c>
      <c r="B1695" s="13" t="str">
        <f>HYPERLINK("https://parts-sales.ru/parts/MAN/51907106001","Шайба")</f>
        <v>Шайба</v>
      </c>
      <c r="C1695" s="5" t="s">
        <v>17</v>
      </c>
      <c r="D1695" s="6">
        <v>1520.4</v>
      </c>
      <c r="E1695" s="6">
        <v>442</v>
      </c>
      <c r="F1695" s="9">
        <v>0.71</v>
      </c>
      <c r="H1695" s="11"/>
      <c r="I1695" s="11"/>
      <c r="J1695" s="11"/>
    </row>
    <row r="1696" spans="1:10" ht="15.75" x14ac:dyDescent="0.3">
      <c r="A1696" s="12" t="str">
        <f>HYPERLINK("https://parts-sales.ru/parts/MAN/51908010075","51.90801-0075")</f>
        <v>51.90801-0075</v>
      </c>
      <c r="B1696" s="12" t="str">
        <f>HYPERLINK("https://parts-sales.ru/parts/MAN/51908010075","Стопорная шайба")</f>
        <v>Стопорная шайба</v>
      </c>
      <c r="C1696" s="3" t="s">
        <v>17</v>
      </c>
      <c r="D1696" s="4">
        <v>3001.2</v>
      </c>
      <c r="E1696" s="4">
        <v>697</v>
      </c>
      <c r="F1696" s="8">
        <v>0.77</v>
      </c>
      <c r="H1696" s="11"/>
      <c r="I1696" s="11"/>
      <c r="J1696" s="11"/>
    </row>
    <row r="1697" spans="1:10" ht="15.75" x14ac:dyDescent="0.3">
      <c r="A1697" s="13" t="str">
        <f>HYPERLINK("https://parts-sales.ru/parts/MAN/51908010076","51.90801-0076")</f>
        <v>51.90801-0076</v>
      </c>
      <c r="B1697" s="13" t="str">
        <f>HYPERLINK("https://parts-sales.ru/parts/MAN/51908010076","Стопорная шайба")</f>
        <v>Стопорная шайба</v>
      </c>
      <c r="C1697" s="5" t="s">
        <v>17</v>
      </c>
      <c r="D1697" s="6">
        <v>2227.1999999999998</v>
      </c>
      <c r="E1697" s="6">
        <v>516</v>
      </c>
      <c r="F1697" s="9">
        <v>0.77</v>
      </c>
      <c r="H1697" s="11"/>
      <c r="I1697" s="11"/>
      <c r="J1697" s="11"/>
    </row>
    <row r="1698" spans="1:10" ht="15.75" x14ac:dyDescent="0.3">
      <c r="A1698" s="12" t="str">
        <f>HYPERLINK("https://parts-sales.ru/parts/MAN/51908100038","51.90810-0038")</f>
        <v>51.90810-0038</v>
      </c>
      <c r="B1698" s="12" t="str">
        <f>HYPERLINK("https://parts-sales.ru/parts/MAN/51908100038","Пружинное стопорное кольцо 52X2-FDST")</f>
        <v>Пружинное стопорное кольцо 52X2-FDST</v>
      </c>
      <c r="C1698" s="3" t="s">
        <v>17</v>
      </c>
      <c r="D1698" s="4">
        <v>694.8</v>
      </c>
      <c r="E1698" s="4">
        <v>122</v>
      </c>
      <c r="F1698" s="8">
        <v>0.82</v>
      </c>
      <c r="H1698" s="11"/>
      <c r="I1698" s="11"/>
      <c r="J1698" s="11"/>
    </row>
    <row r="1699" spans="1:10" ht="15.75" x14ac:dyDescent="0.3">
      <c r="A1699" s="13" t="str">
        <f>HYPERLINK("https://parts-sales.ru/parts/MAN/51908200001","51.90820-0001")</f>
        <v>51.90820-0001</v>
      </c>
      <c r="B1699" s="13" t="str">
        <f>HYPERLINK("https://parts-sales.ru/parts/MAN/51908200001","Стопорное кольцо")</f>
        <v>Стопорное кольцо</v>
      </c>
      <c r="C1699" s="5" t="s">
        <v>17</v>
      </c>
      <c r="D1699" s="6">
        <v>5425.2</v>
      </c>
      <c r="E1699" s="6">
        <v>1172</v>
      </c>
      <c r="F1699" s="9">
        <v>0.78</v>
      </c>
      <c r="H1699" s="11"/>
      <c r="I1699" s="11"/>
      <c r="J1699" s="11"/>
    </row>
    <row r="1700" spans="1:10" ht="15.75" x14ac:dyDescent="0.3">
      <c r="A1700" s="12" t="str">
        <f>HYPERLINK("https://parts-sales.ru/parts/MAN/51908206001","51.90820-6001")</f>
        <v>51.90820-6001</v>
      </c>
      <c r="B1700" s="12" t="str">
        <f>HYPERLINK("https://parts-sales.ru/parts/MAN/51908206001","Комплект деталей")</f>
        <v>Комплект деталей</v>
      </c>
      <c r="C1700" s="3" t="s">
        <v>17</v>
      </c>
      <c r="D1700" s="4">
        <v>748.8</v>
      </c>
      <c r="E1700" s="4">
        <v>147</v>
      </c>
      <c r="F1700" s="8">
        <v>0.8</v>
      </c>
      <c r="H1700" s="11"/>
      <c r="I1700" s="11"/>
      <c r="J1700" s="11"/>
    </row>
    <row r="1701" spans="1:10" ht="15.75" x14ac:dyDescent="0.3">
      <c r="A1701" s="13" t="str">
        <f>HYPERLINK("https://parts-sales.ru/parts/MAN/51913010086","51.91301-0086")</f>
        <v>51.91301-0086</v>
      </c>
      <c r="B1701" s="13" t="str">
        <f>HYPERLINK("https://parts-sales.ru/parts/MAN/51913010086","Центрирующий штифт 8H8X10/7,6X20-11SMNPB")</f>
        <v>Центрирующий штифт 8H8X10/7,6X20-11SMNPB</v>
      </c>
      <c r="C1701" s="5" t="s">
        <v>17</v>
      </c>
      <c r="D1701" s="6">
        <v>2019.6</v>
      </c>
      <c r="E1701" s="6">
        <v>440</v>
      </c>
      <c r="F1701" s="9">
        <v>0.78</v>
      </c>
      <c r="H1701" s="11"/>
      <c r="I1701" s="11"/>
      <c r="J1701" s="11"/>
    </row>
    <row r="1702" spans="1:10" ht="15.75" x14ac:dyDescent="0.3">
      <c r="A1702" s="12" t="str">
        <f>HYPERLINK("https://parts-sales.ru/parts/MAN/51913010087","51.91301-0087")</f>
        <v>51.91301-0087</v>
      </c>
      <c r="B1702" s="12" t="str">
        <f>HYPERLINK("https://parts-sales.ru/parts/MAN/51913010087","Центрирующий штифт 10H8X24/9,6X22-11SMNP")</f>
        <v>Центрирующий штифт 10H8X24/9,6X22-11SMNP</v>
      </c>
      <c r="C1702" s="3" t="s">
        <v>17</v>
      </c>
      <c r="D1702" s="4">
        <v>1100.4000000000001</v>
      </c>
      <c r="E1702" s="4">
        <v>385</v>
      </c>
      <c r="F1702" s="8">
        <v>0.65</v>
      </c>
      <c r="H1702" s="11"/>
      <c r="I1702" s="11"/>
      <c r="J1702" s="11"/>
    </row>
    <row r="1703" spans="1:10" ht="15.75" x14ac:dyDescent="0.3">
      <c r="A1703" s="13" t="str">
        <f>HYPERLINK("https://parts-sales.ru/parts/MAN/51913010111","51.91301-0111")</f>
        <v>51.91301-0111</v>
      </c>
      <c r="B1703" s="13" t="str">
        <f>HYPERLINK("https://parts-sales.ru/parts/MAN/51913010111","Центрирующий штифт")</f>
        <v>Центрирующий штифт</v>
      </c>
      <c r="C1703" s="5" t="s">
        <v>17</v>
      </c>
      <c r="D1703" s="6">
        <v>1720.8</v>
      </c>
      <c r="E1703" s="6">
        <v>378</v>
      </c>
      <c r="F1703" s="9">
        <v>0.78</v>
      </c>
      <c r="H1703" s="11"/>
      <c r="I1703" s="11"/>
      <c r="J1703" s="11"/>
    </row>
    <row r="1704" spans="1:10" ht="15.75" x14ac:dyDescent="0.3">
      <c r="A1704" s="12" t="str">
        <f>HYPERLINK("https://parts-sales.ru/parts/MAN/51916060049","51.91606-0049")</f>
        <v>51.91606-0049</v>
      </c>
      <c r="B1704" s="12" t="str">
        <f>HYPERLINK("https://parts-sales.ru/parts/MAN/51916060049","Запорная крышка A36,2/10-X5CRNI1810N")</f>
        <v>Запорная крышка A36,2/10-X5CRNI1810N</v>
      </c>
      <c r="C1704" s="3" t="s">
        <v>17</v>
      </c>
      <c r="D1704" s="4">
        <v>2654.4</v>
      </c>
      <c r="E1704" s="4">
        <v>626</v>
      </c>
      <c r="F1704" s="8">
        <v>0.76</v>
      </c>
      <c r="H1704" s="11"/>
      <c r="I1704" s="11"/>
      <c r="J1704" s="11"/>
    </row>
    <row r="1705" spans="1:10" ht="15.75" x14ac:dyDescent="0.3">
      <c r="A1705" s="13" t="str">
        <f>HYPERLINK("https://parts-sales.ru/parts/MAN/51917010283","51.91701-0283")</f>
        <v>51.91701-0283</v>
      </c>
      <c r="B1705" s="13" t="str">
        <f>HYPERLINK("https://parts-sales.ru/parts/MAN/51917010283","Втулка 12,2X17H6X24/39,5X35,7-9SMNPB2")</f>
        <v>Втулка 12,2X17H6X24/39,5X35,7-9SMNPB2</v>
      </c>
      <c r="C1705" s="5" t="s">
        <v>17</v>
      </c>
      <c r="D1705" s="6">
        <v>3492</v>
      </c>
      <c r="E1705" s="6">
        <v>874</v>
      </c>
      <c r="F1705" s="9">
        <v>0.75</v>
      </c>
      <c r="H1705" s="11"/>
      <c r="I1705" s="11"/>
      <c r="J1705" s="11"/>
    </row>
    <row r="1706" spans="1:10" ht="15.75" x14ac:dyDescent="0.3">
      <c r="A1706" s="12" t="str">
        <f>HYPERLINK("https://parts-sales.ru/parts/MAN/51917010285","51.91701-0285")</f>
        <v>51.91701-0285</v>
      </c>
      <c r="B1706" s="12" t="str">
        <f>HYPERLINK("https://parts-sales.ru/parts/MAN/51917010285","Разбрызгивающее кольцо")</f>
        <v>Разбрызгивающее кольцо</v>
      </c>
      <c r="C1706" s="3" t="s">
        <v>17</v>
      </c>
      <c r="D1706" s="4">
        <v>2505.6</v>
      </c>
      <c r="E1706" s="4">
        <v>626</v>
      </c>
      <c r="F1706" s="8">
        <v>0.75</v>
      </c>
      <c r="H1706" s="11"/>
      <c r="I1706" s="11"/>
      <c r="J1706" s="11"/>
    </row>
    <row r="1707" spans="1:10" ht="15.75" x14ac:dyDescent="0.3">
      <c r="A1707" s="13" t="str">
        <f>HYPERLINK("https://parts-sales.ru/parts/MAN/51917010512","51.91701-0512")</f>
        <v>51.91701-0512</v>
      </c>
      <c r="B1707" s="13" t="str">
        <f>HYPERLINK("https://parts-sales.ru/parts/MAN/51917010512","Шайба 10,5X20X10-21CRMOV57V")</f>
        <v>Шайба 10,5X20X10-21CRMOV57V</v>
      </c>
      <c r="C1707" s="5" t="s">
        <v>17</v>
      </c>
      <c r="D1707" s="6">
        <v>962.4</v>
      </c>
      <c r="E1707" s="6">
        <v>268</v>
      </c>
      <c r="F1707" s="9">
        <v>0.72</v>
      </c>
      <c r="H1707" s="11"/>
      <c r="I1707" s="11"/>
      <c r="J1707" s="11"/>
    </row>
    <row r="1708" spans="1:10" ht="15.75" x14ac:dyDescent="0.3">
      <c r="A1708" s="12" t="str">
        <f>HYPERLINK("https://parts-sales.ru/parts/MAN/51917010830","51.91701-0830")</f>
        <v>51.91701-0830</v>
      </c>
      <c r="B1708" s="12" t="str">
        <f>HYPERLINK("https://parts-sales.ru/parts/MAN/51917010830","Втулка 10,5X22X13-ST35NBK")</f>
        <v>Втулка 10,5X22X13-ST35NBK</v>
      </c>
      <c r="C1708" s="3" t="s">
        <v>17</v>
      </c>
      <c r="D1708" s="4">
        <v>1096.8</v>
      </c>
      <c r="E1708" s="4">
        <v>280</v>
      </c>
      <c r="F1708" s="8">
        <v>0.74</v>
      </c>
      <c r="H1708" s="11"/>
      <c r="I1708" s="11"/>
      <c r="J1708" s="11"/>
    </row>
    <row r="1709" spans="1:10" ht="15.75" x14ac:dyDescent="0.3">
      <c r="A1709" s="13" t="str">
        <f>HYPERLINK("https://parts-sales.ru/parts/MAN/51917010938","51.91701-0938")</f>
        <v>51.91701-0938</v>
      </c>
      <c r="B1709" s="13" t="str">
        <f>HYPERLINK("https://parts-sales.ru/parts/MAN/51917010938","Втулка 12,5X19,8X26/9,5-9SMNPB28K-A3C")</f>
        <v>Втулка 12,5X19,8X26/9,5-9SMNPB28K-A3C</v>
      </c>
      <c r="C1709" s="5" t="s">
        <v>17</v>
      </c>
      <c r="D1709" s="6">
        <v>1756.8</v>
      </c>
      <c r="E1709" s="6">
        <v>235</v>
      </c>
      <c r="F1709" s="9">
        <v>0.87</v>
      </c>
      <c r="H1709" s="11"/>
      <c r="I1709" s="11"/>
      <c r="J1709" s="11"/>
    </row>
    <row r="1710" spans="1:10" ht="15.75" x14ac:dyDescent="0.3">
      <c r="A1710" s="12" t="str">
        <f>HYPERLINK("https://parts-sales.ru/parts/MAN/51930010100","51.93001-0100")</f>
        <v>51.93001-0100</v>
      </c>
      <c r="B1710" s="12" t="str">
        <f>HYPERLINK("https://parts-sales.ru/parts/MAN/51930010100","Втулка подшипника")</f>
        <v>Втулка подшипника</v>
      </c>
      <c r="C1710" s="3" t="s">
        <v>17</v>
      </c>
      <c r="D1710" s="4">
        <v>3170.4</v>
      </c>
      <c r="E1710" s="4">
        <v>705</v>
      </c>
      <c r="F1710" s="8">
        <v>0.78</v>
      </c>
      <c r="H1710" s="11"/>
      <c r="I1710" s="11"/>
      <c r="J1710" s="11"/>
    </row>
    <row r="1711" spans="1:10" ht="15.75" x14ac:dyDescent="0.3">
      <c r="A1711" s="13" t="str">
        <f>HYPERLINK("https://parts-sales.ru/parts/MAN/51930300100","51.93030-0100")</f>
        <v>51.93030-0100</v>
      </c>
      <c r="B1711" s="13" t="str">
        <f>HYPERLINK("https://parts-sales.ru/parts/MAN/51930300100","Распорная втулка")</f>
        <v>Распорная втулка</v>
      </c>
      <c r="C1711" s="5" t="s">
        <v>17</v>
      </c>
      <c r="D1711" s="6">
        <v>3720</v>
      </c>
      <c r="E1711" s="6">
        <v>656</v>
      </c>
      <c r="F1711" s="9">
        <v>0.82</v>
      </c>
      <c r="H1711" s="11"/>
      <c r="I1711" s="11"/>
      <c r="J1711" s="11"/>
    </row>
    <row r="1712" spans="1:10" ht="15.75" x14ac:dyDescent="0.3">
      <c r="A1712" s="12" t="str">
        <f>HYPERLINK("https://parts-sales.ru/parts/MAN/51930300147","51.93030-0147")</f>
        <v>51.93030-0147</v>
      </c>
      <c r="B1712" s="12" t="str">
        <f>HYPERLINK("https://parts-sales.ru/parts/MAN/51930300147","Втулка 10,5X28X52,5/14,5X4-11SMNPB30-")</f>
        <v>Втулка 10,5X28X52,5/14,5X4-11SMNPB30-</v>
      </c>
      <c r="C1712" s="3" t="s">
        <v>17</v>
      </c>
      <c r="D1712" s="4">
        <v>2431.1999999999998</v>
      </c>
      <c r="E1712" s="4">
        <v>742</v>
      </c>
      <c r="F1712" s="8">
        <v>0.69</v>
      </c>
      <c r="H1712" s="11"/>
      <c r="I1712" s="11"/>
      <c r="J1712" s="11"/>
    </row>
    <row r="1713" spans="1:10" ht="15.75" x14ac:dyDescent="0.3">
      <c r="A1713" s="13" t="str">
        <f>HYPERLINK("https://parts-sales.ru/parts/MAN/51930300417","51.93030-0417")</f>
        <v>51.93030-0417</v>
      </c>
      <c r="B1713" s="13" t="str">
        <f>HYPERLINK("https://parts-sales.ru/parts/MAN/51930300417","Втулка 12,5/28/15,5")</f>
        <v>Втулка 12,5/28/15,5</v>
      </c>
      <c r="C1713" s="5" t="s">
        <v>17</v>
      </c>
      <c r="D1713" s="6">
        <v>1414.8</v>
      </c>
      <c r="E1713" s="6">
        <v>221</v>
      </c>
      <c r="F1713" s="9">
        <v>0.84</v>
      </c>
      <c r="H1713" s="11"/>
      <c r="I1713" s="11"/>
      <c r="J1713" s="11"/>
    </row>
    <row r="1714" spans="1:10" ht="15.75" x14ac:dyDescent="0.3">
      <c r="A1714" s="12" t="str">
        <f>HYPERLINK("https://parts-sales.ru/parts/MAN/51934060003","51.93406-0003")</f>
        <v>51.93406-0003</v>
      </c>
      <c r="B1714" s="12" t="str">
        <f>HYPERLINK("https://parts-sales.ru/parts/MAN/51934060003","Шарик")</f>
        <v>Шарик</v>
      </c>
      <c r="C1714" s="3" t="s">
        <v>17</v>
      </c>
      <c r="D1714" s="4">
        <v>1814.4</v>
      </c>
      <c r="E1714" s="4">
        <v>334</v>
      </c>
      <c r="F1714" s="8">
        <v>0.82</v>
      </c>
      <c r="H1714" s="11"/>
      <c r="I1714" s="11"/>
      <c r="J1714" s="11"/>
    </row>
    <row r="1715" spans="1:10" ht="15.75" x14ac:dyDescent="0.3">
      <c r="A1715" s="13" t="str">
        <f>HYPERLINK("https://parts-sales.ru/parts/MAN/51958006103","51.95800-6103")</f>
        <v>51.95800-6103</v>
      </c>
      <c r="B1715" s="13" t="str">
        <f>HYPERLINK("https://parts-sales.ru/parts/MAN/51958006103","Направляющий ролик")</f>
        <v>Направляющий ролик</v>
      </c>
      <c r="C1715" s="5" t="s">
        <v>17</v>
      </c>
      <c r="D1715" s="6">
        <v>38162.400000000001</v>
      </c>
      <c r="E1715" s="6">
        <v>18767</v>
      </c>
      <c r="F1715" s="9">
        <v>0.51</v>
      </c>
      <c r="H1715" s="11"/>
      <c r="I1715" s="11"/>
      <c r="J1715" s="11"/>
    </row>
    <row r="1716" spans="1:10" ht="15.75" x14ac:dyDescent="0.3">
      <c r="A1716" s="12" t="str">
        <f>HYPERLINK("https://parts-sales.ru/parts/MAN/51958006107","51.95800-6107")</f>
        <v>51.95800-6107</v>
      </c>
      <c r="B1716" s="12" t="str">
        <f>HYPERLINK("https://parts-sales.ru/parts/MAN/51958006107","Направляющий ролик")</f>
        <v>Направляющий ролик</v>
      </c>
      <c r="C1716" s="3" t="s">
        <v>17</v>
      </c>
      <c r="D1716" s="4">
        <v>16107.6</v>
      </c>
      <c r="E1716" s="4">
        <v>5041</v>
      </c>
      <c r="F1716" s="8">
        <v>0.69</v>
      </c>
      <c r="H1716" s="11"/>
      <c r="I1716" s="11"/>
      <c r="J1716" s="11"/>
    </row>
    <row r="1717" spans="1:10" ht="15.75" x14ac:dyDescent="0.3">
      <c r="A1717" s="13" t="str">
        <f>HYPERLINK("https://parts-sales.ru/parts/MAN/51958006137","51.95800-6137")</f>
        <v>51.95800-6137</v>
      </c>
      <c r="B1717" s="13" t="str">
        <f>HYPERLINK("https://parts-sales.ru/parts/MAN/51958006137","Компл. устройств натяж. ремня")</f>
        <v>Компл. устройств натяж. ремня</v>
      </c>
      <c r="C1717" s="5" t="s">
        <v>17</v>
      </c>
      <c r="D1717" s="6">
        <v>35319.599999999999</v>
      </c>
      <c r="E1717" s="6">
        <v>7073</v>
      </c>
      <c r="F1717" s="9">
        <v>0.8</v>
      </c>
      <c r="H1717" s="11"/>
      <c r="I1717" s="11"/>
      <c r="J1717" s="11"/>
    </row>
    <row r="1718" spans="1:10" ht="15.75" x14ac:dyDescent="0.3">
      <c r="A1718" s="12" t="str">
        <f>HYPERLINK("https://parts-sales.ru/parts/MAN/51958006143","51.95800-6143")</f>
        <v>51.95800-6143</v>
      </c>
      <c r="B1718" s="12" t="str">
        <f>HYPERLINK("https://parts-sales.ru/parts/MAN/51958006143","Компл. устройств натяж. ремня")</f>
        <v>Компл. устройств натяж. ремня</v>
      </c>
      <c r="C1718" s="3" t="s">
        <v>17</v>
      </c>
      <c r="D1718" s="4">
        <v>90754.8</v>
      </c>
      <c r="E1718" s="4">
        <v>39114</v>
      </c>
      <c r="F1718" s="8">
        <v>0.56999999999999995</v>
      </c>
      <c r="H1718" s="11"/>
      <c r="I1718" s="11"/>
      <c r="J1718" s="11"/>
    </row>
    <row r="1719" spans="1:10" ht="15.75" x14ac:dyDescent="0.3">
      <c r="A1719" s="13" t="str">
        <f>HYPERLINK("https://parts-sales.ru/parts/MAN/51958006160","51.95800-6160")</f>
        <v>51.95800-6160</v>
      </c>
      <c r="B1719" s="13" t="str">
        <f>HYPERLINK("https://parts-sales.ru/parts/MAN/51958006160","Направляющий ролик 74X34")</f>
        <v>Направляющий ролик 74X34</v>
      </c>
      <c r="C1719" s="5" t="s">
        <v>17</v>
      </c>
      <c r="D1719" s="6">
        <v>20583.599999999999</v>
      </c>
      <c r="E1719" s="6">
        <v>5939</v>
      </c>
      <c r="F1719" s="9">
        <v>0.71</v>
      </c>
      <c r="H1719" s="11"/>
      <c r="I1719" s="11"/>
      <c r="J1719" s="11"/>
    </row>
    <row r="1720" spans="1:10" ht="15.75" x14ac:dyDescent="0.3">
      <c r="A1720" s="12" t="str">
        <f>HYPERLINK("https://parts-sales.ru/parts/MAN/51958007397","51.95800-7397")</f>
        <v>51.95800-7397</v>
      </c>
      <c r="B1720" s="12" t="str">
        <f>HYPERLINK("https://parts-sales.ru/parts/MAN/51958007397","Устройство для натяжения ремня автоматич")</f>
        <v>Устройство для натяжения ремня автоматич</v>
      </c>
      <c r="C1720" s="3" t="s">
        <v>17</v>
      </c>
      <c r="D1720" s="4">
        <v>54093.09</v>
      </c>
      <c r="E1720" s="4">
        <v>22569</v>
      </c>
      <c r="F1720" s="8">
        <v>0.57999999999999996</v>
      </c>
      <c r="H1720" s="11"/>
      <c r="I1720" s="11"/>
      <c r="J1720" s="11"/>
    </row>
    <row r="1721" spans="1:10" ht="15.75" x14ac:dyDescent="0.3">
      <c r="A1721" s="13" t="str">
        <f>HYPERLINK("https://parts-sales.ru/parts/MAN/51958007480","51.95800-7480")</f>
        <v>51.95800-7480</v>
      </c>
      <c r="B1721" s="13" t="str">
        <f>HYPERLINK("https://parts-sales.ru/parts/MAN/51958007480","Устройство для натяжения ремня автоматич")</f>
        <v>Устройство для натяжения ремня автоматич</v>
      </c>
      <c r="C1721" s="5" t="s">
        <v>17</v>
      </c>
      <c r="D1721" s="6">
        <v>17342.400000000001</v>
      </c>
      <c r="E1721" s="6">
        <v>7504</v>
      </c>
      <c r="F1721" s="9">
        <v>0.56999999999999995</v>
      </c>
      <c r="H1721" s="11"/>
      <c r="I1721" s="11"/>
      <c r="J1721" s="11"/>
    </row>
    <row r="1722" spans="1:10" ht="15.75" x14ac:dyDescent="0.3">
      <c r="A1722" s="12" t="str">
        <f>HYPERLINK("https://parts-sales.ru/parts/MAN/51958007485","51.95800-7485")</f>
        <v>51.95800-7485</v>
      </c>
      <c r="B1722" s="12" t="str">
        <f>HYPERLINK("https://parts-sales.ru/parts/MAN/51958007485","Натяжной ролик")</f>
        <v>Натяжной ролик</v>
      </c>
      <c r="C1722" s="3" t="s">
        <v>17</v>
      </c>
      <c r="D1722" s="4">
        <v>15514.8</v>
      </c>
      <c r="E1722" s="4">
        <v>4778</v>
      </c>
      <c r="F1722" s="8">
        <v>0.69</v>
      </c>
      <c r="H1722" s="11"/>
      <c r="I1722" s="11"/>
      <c r="J1722" s="11"/>
    </row>
    <row r="1723" spans="1:10" ht="15.75" x14ac:dyDescent="0.3">
      <c r="A1723" s="13" t="str">
        <f>HYPERLINK("https://parts-sales.ru/parts/MAN/51958007490","51.95800-7490")</f>
        <v>51.95800-7490</v>
      </c>
      <c r="B1723" s="13" t="str">
        <f>HYPERLINK("https://parts-sales.ru/parts/MAN/51958007490","Устройство для натяжения ремня")</f>
        <v>Устройство для натяжения ремня</v>
      </c>
      <c r="C1723" s="5" t="s">
        <v>17</v>
      </c>
      <c r="D1723" s="6">
        <v>63298.8</v>
      </c>
      <c r="E1723" s="6">
        <v>18904</v>
      </c>
      <c r="F1723" s="9">
        <v>0.7</v>
      </c>
      <c r="H1723" s="11"/>
      <c r="I1723" s="11"/>
      <c r="J1723" s="11"/>
    </row>
    <row r="1724" spans="1:10" ht="15.75" x14ac:dyDescent="0.3">
      <c r="A1724" s="12" t="str">
        <f>HYPERLINK("https://parts-sales.ru/parts/MAN/51960010029","51.96001-0029")</f>
        <v>51.96001-0029</v>
      </c>
      <c r="B1724" s="12" t="str">
        <f>HYPERLINK("https://parts-sales.ru/parts/MAN/51960010029","Резиновый наконечник")</f>
        <v>Резиновый наконечник</v>
      </c>
      <c r="C1724" s="3" t="s">
        <v>17</v>
      </c>
      <c r="D1724" s="4">
        <v>1195.2</v>
      </c>
      <c r="E1724" s="4">
        <v>414</v>
      </c>
      <c r="F1724" s="8">
        <v>0.65</v>
      </c>
      <c r="H1724" s="11"/>
      <c r="I1724" s="11"/>
      <c r="J1724" s="11"/>
    </row>
    <row r="1725" spans="1:10" ht="15.75" x14ac:dyDescent="0.3">
      <c r="A1725" s="13" t="str">
        <f>HYPERLINK("https://parts-sales.ru/parts/MAN/51962100114","51.96210-0114")</f>
        <v>51.96210-0114</v>
      </c>
      <c r="B1725" s="13" t="str">
        <f>HYPERLINK("https://parts-sales.ru/parts/MAN/51962100114","Втулка с")</f>
        <v>Втулка с</v>
      </c>
      <c r="C1725" s="5" t="s">
        <v>17</v>
      </c>
      <c r="D1725" s="6">
        <v>1597.2</v>
      </c>
      <c r="E1725" s="6">
        <v>289</v>
      </c>
      <c r="F1725" s="9">
        <v>0.82</v>
      </c>
      <c r="H1725" s="11"/>
      <c r="I1725" s="11"/>
      <c r="J1725" s="11"/>
    </row>
    <row r="1726" spans="1:10" ht="15.75" x14ac:dyDescent="0.3">
      <c r="A1726" s="12" t="str">
        <f>HYPERLINK("https://parts-sales.ru/parts/MAN/51962100116","51.96210-0116")</f>
        <v>51.96210-0116</v>
      </c>
      <c r="B1726" s="12" t="str">
        <f>HYPERLINK("https://parts-sales.ru/parts/MAN/51962100116","Втулка с")</f>
        <v>Втулка с</v>
      </c>
      <c r="C1726" s="3" t="s">
        <v>17</v>
      </c>
      <c r="D1726" s="4">
        <v>1627.2</v>
      </c>
      <c r="E1726" s="4">
        <v>289</v>
      </c>
      <c r="F1726" s="8">
        <v>0.82</v>
      </c>
      <c r="H1726" s="11"/>
      <c r="I1726" s="11"/>
      <c r="J1726" s="11"/>
    </row>
    <row r="1727" spans="1:10" ht="15.75" x14ac:dyDescent="0.3">
      <c r="A1727" s="13" t="str">
        <f>HYPERLINK("https://parts-sales.ru/parts/MAN/51963300383","51.96330-0383")</f>
        <v>51.96330-0383</v>
      </c>
      <c r="B1727" s="13" t="str">
        <f>HYPERLINK("https://parts-sales.ru/parts/MAN/51963300383","Шланг 18X65-1")</f>
        <v>Шланг 18X65-1</v>
      </c>
      <c r="C1727" s="5" t="s">
        <v>17</v>
      </c>
      <c r="D1727" s="6">
        <v>1959.6</v>
      </c>
      <c r="E1727" s="6">
        <v>667</v>
      </c>
      <c r="F1727" s="9">
        <v>0.66</v>
      </c>
      <c r="H1727" s="11"/>
      <c r="I1727" s="11"/>
      <c r="J1727" s="11"/>
    </row>
    <row r="1728" spans="1:10" ht="15.75" x14ac:dyDescent="0.3">
      <c r="A1728" s="12" t="str">
        <f>HYPERLINK("https://parts-sales.ru/parts/MAN/51963300414","51.96330-0414")</f>
        <v>51.96330-0414</v>
      </c>
      <c r="B1728" s="12" t="str">
        <f>HYPERLINK("https://parts-sales.ru/parts/MAN/51963300414","Шланг 12X70+-2-1")</f>
        <v>Шланг 12X70+-2-1</v>
      </c>
      <c r="C1728" s="3" t="s">
        <v>17</v>
      </c>
      <c r="D1728" s="4">
        <v>3012</v>
      </c>
      <c r="E1728" s="4">
        <v>708</v>
      </c>
      <c r="F1728" s="8">
        <v>0.76</v>
      </c>
      <c r="H1728" s="11"/>
      <c r="I1728" s="11"/>
      <c r="J1728" s="11"/>
    </row>
    <row r="1729" spans="1:10" ht="15.75" x14ac:dyDescent="0.3">
      <c r="A1729" s="13" t="str">
        <f>HYPERLINK("https://parts-sales.ru/parts/MAN/51963300415","51.96330-0415")</f>
        <v>51.96330-0415</v>
      </c>
      <c r="B1729" s="13" t="str">
        <f>HYPERLINK("https://parts-sales.ru/parts/MAN/51963300415","Топливный шланг 3,2X1,9-FPM4-80/TEX-SW")</f>
        <v>Топливный шланг 3,2X1,9-FPM4-80/TEX-SW</v>
      </c>
      <c r="C1729" s="5" t="s">
        <v>17</v>
      </c>
      <c r="D1729" s="6">
        <v>3969.6</v>
      </c>
      <c r="E1729" s="6">
        <v>793</v>
      </c>
      <c r="F1729" s="9">
        <v>0.8</v>
      </c>
      <c r="H1729" s="11"/>
      <c r="I1729" s="11"/>
      <c r="J1729" s="11"/>
    </row>
    <row r="1730" spans="1:10" ht="15.75" x14ac:dyDescent="0.3">
      <c r="A1730" s="12" t="str">
        <f>HYPERLINK("https://parts-sales.ru/parts/MAN/51963300469","51.96330-0469")</f>
        <v>51.96330-0469</v>
      </c>
      <c r="B1730" s="12" t="str">
        <f>HYPERLINK("https://parts-sales.ru/parts/MAN/51963300469","Изолирующий шланг 50X75")</f>
        <v>Изолирующий шланг 50X75</v>
      </c>
      <c r="C1730" s="3" t="s">
        <v>17</v>
      </c>
      <c r="D1730" s="4">
        <v>2389.1999999999998</v>
      </c>
      <c r="E1730" s="4">
        <v>564</v>
      </c>
      <c r="F1730" s="8">
        <v>0.76</v>
      </c>
      <c r="H1730" s="11"/>
      <c r="I1730" s="11"/>
      <c r="J1730" s="11"/>
    </row>
    <row r="1731" spans="1:10" ht="15.75" x14ac:dyDescent="0.3">
      <c r="A1731" s="13" t="str">
        <f>HYPERLINK("https://parts-sales.ru/parts/MAN/51964100089","51.96410-0089")</f>
        <v>51.96410-0089</v>
      </c>
      <c r="B1731" s="13" t="str">
        <f>HYPERLINK("https://parts-sales.ru/parts/MAN/51964100089","Колпачок")</f>
        <v>Колпачок</v>
      </c>
      <c r="C1731" s="5" t="s">
        <v>17</v>
      </c>
      <c r="D1731" s="6">
        <v>920.4</v>
      </c>
      <c r="E1731" s="6">
        <v>212</v>
      </c>
      <c r="F1731" s="9">
        <v>0.77</v>
      </c>
      <c r="H1731" s="11"/>
      <c r="I1731" s="11"/>
      <c r="J1731" s="11"/>
    </row>
    <row r="1732" spans="1:10" ht="15.75" x14ac:dyDescent="0.3">
      <c r="A1732" s="12" t="str">
        <f>HYPERLINK("https://parts-sales.ru/parts/MAN/51965010324","51.96501-0324")</f>
        <v>51.96501-0324</v>
      </c>
      <c r="B1732" s="12" t="str">
        <f>HYPERLINK("https://parts-sales.ru/parts/MAN/51965010324","Круглое уплотнение 126X3-FKM1-80-GN")</f>
        <v>Круглое уплотнение 126X3-FKM1-80-GN</v>
      </c>
      <c r="C1732" s="3" t="s">
        <v>17</v>
      </c>
      <c r="D1732" s="4">
        <v>3709.2</v>
      </c>
      <c r="E1732" s="4">
        <v>483</v>
      </c>
      <c r="F1732" s="8">
        <v>0.87</v>
      </c>
      <c r="H1732" s="11"/>
      <c r="I1732" s="11"/>
      <c r="J1732" s="11"/>
    </row>
    <row r="1733" spans="1:10" ht="15.75" x14ac:dyDescent="0.3">
      <c r="A1733" s="13" t="str">
        <f>HYPERLINK("https://parts-sales.ru/parts/MAN/51965010346","51.96501-0346")</f>
        <v>51.96501-0346</v>
      </c>
      <c r="B1733" s="13" t="str">
        <f>HYPERLINK("https://parts-sales.ru/parts/MAN/51965010346","Круглое уплотнение 138X3,5-FKM1-70-GN")</f>
        <v>Круглое уплотнение 138X3,5-FKM1-70-GN</v>
      </c>
      <c r="C1733" s="5" t="s">
        <v>17</v>
      </c>
      <c r="D1733" s="6">
        <v>2407.1999999999998</v>
      </c>
      <c r="E1733" s="6">
        <v>847</v>
      </c>
      <c r="F1733" s="9">
        <v>0.65</v>
      </c>
      <c r="H1733" s="11"/>
      <c r="I1733" s="11"/>
      <c r="J1733" s="11"/>
    </row>
    <row r="1734" spans="1:10" ht="15.75" x14ac:dyDescent="0.3">
      <c r="A1734" s="12" t="str">
        <f>HYPERLINK("https://parts-sales.ru/parts/MAN/51965010348","51.96501-0348")</f>
        <v>51.96501-0348</v>
      </c>
      <c r="B1734" s="12" t="str">
        <f>HYPERLINK("https://parts-sales.ru/parts/MAN/51965010348","Уплотнительное кольцо 6,2X11X1-CU")</f>
        <v>Уплотнительное кольцо 6,2X11X1-CU</v>
      </c>
      <c r="C1734" s="3" t="s">
        <v>17</v>
      </c>
      <c r="D1734" s="4">
        <v>651.6</v>
      </c>
      <c r="E1734" s="4">
        <v>220</v>
      </c>
      <c r="F1734" s="8">
        <v>0.66</v>
      </c>
      <c r="H1734" s="11"/>
      <c r="I1734" s="11"/>
      <c r="J1734" s="11"/>
    </row>
    <row r="1735" spans="1:10" ht="15.75" x14ac:dyDescent="0.3">
      <c r="A1735" s="13" t="str">
        <f>HYPERLINK("https://parts-sales.ru/parts/MAN/51965010357","51.96501-0357")</f>
        <v>51.96501-0357</v>
      </c>
      <c r="B1735" s="13" t="str">
        <f>HYPERLINK("https://parts-sales.ru/parts/MAN/51965010357","Круглое уплотнение 140X4-FPM1-60-GN")</f>
        <v>Круглое уплотнение 140X4-FPM1-60-GN</v>
      </c>
      <c r="C1735" s="5" t="s">
        <v>17</v>
      </c>
      <c r="D1735" s="6">
        <v>2904</v>
      </c>
      <c r="E1735" s="6">
        <v>154</v>
      </c>
      <c r="F1735" s="9">
        <v>0.95</v>
      </c>
      <c r="H1735" s="11"/>
      <c r="I1735" s="11"/>
      <c r="J1735" s="11"/>
    </row>
    <row r="1736" spans="1:10" ht="15.75" x14ac:dyDescent="0.3">
      <c r="A1736" s="12" t="str">
        <f>HYPERLINK("https://parts-sales.ru/parts/MAN/51965010407","51.96501-0407")</f>
        <v>51.96501-0407</v>
      </c>
      <c r="B1736" s="12" t="str">
        <f>HYPERLINK("https://parts-sales.ru/parts/MAN/51965010407","Радиальное уплотнение вала 20X47X7-NB")</f>
        <v>Радиальное уплотнение вала 20X47X7-NB</v>
      </c>
      <c r="C1736" s="3" t="s">
        <v>17</v>
      </c>
      <c r="D1736" s="4">
        <v>4322.3999999999996</v>
      </c>
      <c r="E1736" s="4">
        <v>863</v>
      </c>
      <c r="F1736" s="8">
        <v>0.8</v>
      </c>
      <c r="H1736" s="11"/>
      <c r="I1736" s="11"/>
      <c r="J1736" s="11"/>
    </row>
    <row r="1737" spans="1:10" ht="15.75" x14ac:dyDescent="0.3">
      <c r="A1737" s="13" t="str">
        <f>HYPERLINK("https://parts-sales.ru/parts/MAN/51965010415","51.96501-0415")</f>
        <v>51.96501-0415</v>
      </c>
      <c r="B1737" s="13" t="str">
        <f>HYPERLINK("https://parts-sales.ru/parts/MAN/51965010415","Круглое уплотнение 78X3-FPM1-60-GN")</f>
        <v>Круглое уплотнение 78X3-FPM1-60-GN</v>
      </c>
      <c r="C1737" s="5" t="s">
        <v>17</v>
      </c>
      <c r="D1737" s="6">
        <v>2108.4</v>
      </c>
      <c r="E1737" s="6">
        <v>693</v>
      </c>
      <c r="F1737" s="9">
        <v>0.67</v>
      </c>
      <c r="H1737" s="11"/>
      <c r="I1737" s="11"/>
      <c r="J1737" s="11"/>
    </row>
    <row r="1738" spans="1:10" ht="15.75" x14ac:dyDescent="0.3">
      <c r="A1738" s="12" t="str">
        <f>HYPERLINK("https://parts-sales.ru/parts/MAN/51965010452","51.96501-0452")</f>
        <v>51.96501-0452</v>
      </c>
      <c r="B1738" s="12" t="str">
        <f>HYPERLINK("https://parts-sales.ru/parts/MAN/51965010452","Круглое уплотнение 27X30X2-FPM--70")</f>
        <v>Круглое уплотнение 27X30X2-FPM--70</v>
      </c>
      <c r="C1738" s="3" t="s">
        <v>17</v>
      </c>
      <c r="D1738" s="4">
        <v>746.4</v>
      </c>
      <c r="E1738" s="4">
        <v>246</v>
      </c>
      <c r="F1738" s="8">
        <v>0.67</v>
      </c>
      <c r="H1738" s="11"/>
      <c r="I1738" s="11"/>
      <c r="J1738" s="11"/>
    </row>
    <row r="1739" spans="1:10" ht="15.75" x14ac:dyDescent="0.3">
      <c r="A1739" s="13" t="str">
        <f>HYPERLINK("https://parts-sales.ru/parts/MAN/51965010485","51.96501-0485")</f>
        <v>51.96501-0485</v>
      </c>
      <c r="B1739" s="13" t="str">
        <f>HYPERLINK("https://parts-sales.ru/parts/MAN/51965010485","Круглое уплотнение 8X2-ACM1-60")</f>
        <v>Круглое уплотнение 8X2-ACM1-60</v>
      </c>
      <c r="C1739" s="5" t="s">
        <v>17</v>
      </c>
      <c r="D1739" s="6">
        <v>510</v>
      </c>
      <c r="E1739" s="6">
        <v>111</v>
      </c>
      <c r="F1739" s="9">
        <v>0.78</v>
      </c>
      <c r="H1739" s="11"/>
      <c r="I1739" s="11"/>
      <c r="J1739" s="11"/>
    </row>
    <row r="1740" spans="1:10" ht="15.75" x14ac:dyDescent="0.3">
      <c r="A1740" s="12" t="str">
        <f>HYPERLINK("https://parts-sales.ru/parts/MAN/51965010486","51.96501-0486")</f>
        <v>51.96501-0486</v>
      </c>
      <c r="B1740" s="12" t="str">
        <f>HYPERLINK("https://parts-sales.ru/parts/MAN/51965010486","Круглое уплотнение 12X2-ACM1-60")</f>
        <v>Круглое уплотнение 12X2-ACM1-60</v>
      </c>
      <c r="C1740" s="3" t="s">
        <v>17</v>
      </c>
      <c r="D1740" s="4">
        <v>708</v>
      </c>
      <c r="E1740" s="4">
        <v>136</v>
      </c>
      <c r="F1740" s="8">
        <v>0.81</v>
      </c>
      <c r="H1740" s="11"/>
      <c r="I1740" s="11"/>
      <c r="J1740" s="11"/>
    </row>
    <row r="1741" spans="1:10" ht="15.75" x14ac:dyDescent="0.3">
      <c r="A1741" s="13" t="str">
        <f>HYPERLINK("https://parts-sales.ru/parts/MAN/51965010540","51.96501-0540")</f>
        <v>51.96501-0540</v>
      </c>
      <c r="B1741" s="13" t="str">
        <f>HYPERLINK("https://parts-sales.ru/parts/MAN/51965010540","Профилир. уплотнительн. кольцо 136X3,35X")</f>
        <v>Профилир. уплотнительн. кольцо 136X3,35X</v>
      </c>
      <c r="C1741" s="5" t="s">
        <v>17</v>
      </c>
      <c r="D1741" s="6">
        <v>4362</v>
      </c>
      <c r="E1741" s="6">
        <v>1169</v>
      </c>
      <c r="F1741" s="9">
        <v>0.73</v>
      </c>
      <c r="H1741" s="11"/>
      <c r="I1741" s="11"/>
      <c r="J1741" s="11"/>
    </row>
    <row r="1742" spans="1:10" ht="15.75" x14ac:dyDescent="0.3">
      <c r="A1742" s="12" t="str">
        <f>HYPERLINK("https://parts-sales.ru/parts/MAN/51965010598","51.96501-0598")</f>
        <v>51.96501-0598</v>
      </c>
      <c r="B1742" s="12" t="str">
        <f>HYPERLINK("https://parts-sales.ru/parts/MAN/51965010598","Круглое уплотнение 126X3-FPM1-70")</f>
        <v>Круглое уплотнение 126X3-FPM1-70</v>
      </c>
      <c r="C1742" s="3" t="s">
        <v>17</v>
      </c>
      <c r="D1742" s="4">
        <v>3709.2</v>
      </c>
      <c r="E1742" s="4">
        <v>853</v>
      </c>
      <c r="F1742" s="8">
        <v>0.77</v>
      </c>
      <c r="H1742" s="11"/>
      <c r="I1742" s="11"/>
      <c r="J1742" s="11"/>
    </row>
    <row r="1743" spans="1:10" ht="15.75" x14ac:dyDescent="0.3">
      <c r="A1743" s="13" t="str">
        <f>HYPERLINK("https://parts-sales.ru/parts/MAN/51965010607","51.96501-0607")</f>
        <v>51.96501-0607</v>
      </c>
      <c r="B1743" s="13" t="str">
        <f>HYPERLINK("https://parts-sales.ru/parts/MAN/51965010607","Установочное кольцо")</f>
        <v>Установочное кольцо</v>
      </c>
      <c r="C1743" s="5" t="s">
        <v>17</v>
      </c>
      <c r="D1743" s="6">
        <v>5298</v>
      </c>
      <c r="E1743" s="6">
        <v>2025</v>
      </c>
      <c r="F1743" s="9">
        <v>0.62</v>
      </c>
      <c r="H1743" s="11"/>
      <c r="I1743" s="11"/>
      <c r="J1743" s="11"/>
    </row>
    <row r="1744" spans="1:10" ht="15.75" x14ac:dyDescent="0.3">
      <c r="A1744" s="12" t="str">
        <f>HYPERLINK("https://parts-sales.ru/parts/MAN/51965010642","51.96501-0642")</f>
        <v>51.96501-0642</v>
      </c>
      <c r="B1744" s="12" t="str">
        <f>HYPERLINK("https://parts-sales.ru/parts/MAN/51965010642","Уплотнительное кольцо 10L-ST-VITON")</f>
        <v>Уплотнительное кольцо 10L-ST-VITON</v>
      </c>
      <c r="C1744" s="3" t="s">
        <v>17</v>
      </c>
      <c r="D1744" s="4">
        <v>2952</v>
      </c>
      <c r="E1744" s="4">
        <v>693</v>
      </c>
      <c r="F1744" s="8">
        <v>0.77</v>
      </c>
      <c r="H1744" s="11"/>
      <c r="I1744" s="11"/>
      <c r="J1744" s="11"/>
    </row>
    <row r="1745" spans="1:10" ht="15.75" x14ac:dyDescent="0.3">
      <c r="A1745" s="13" t="str">
        <f>HYPERLINK("https://parts-sales.ru/parts/MAN/51965010678","51.96501-0678")</f>
        <v>51.96501-0678</v>
      </c>
      <c r="B1745" s="13" t="str">
        <f>HYPERLINK("https://parts-sales.ru/parts/MAN/51965010678","Круглое уплотнение 11 X 2")</f>
        <v>Круглое уплотнение 11 X 2</v>
      </c>
      <c r="C1745" s="5" t="s">
        <v>17</v>
      </c>
      <c r="D1745" s="6">
        <v>1075.2</v>
      </c>
      <c r="E1745" s="6">
        <v>256</v>
      </c>
      <c r="F1745" s="9">
        <v>0.76</v>
      </c>
      <c r="H1745" s="11"/>
      <c r="I1745" s="11"/>
      <c r="J1745" s="11"/>
    </row>
    <row r="1746" spans="1:10" ht="15.75" x14ac:dyDescent="0.3">
      <c r="A1746" s="12" t="str">
        <f>HYPERLINK("https://parts-sales.ru/parts/MAN/51965010680","51.96501-0680")</f>
        <v>51.96501-0680</v>
      </c>
      <c r="B1746" s="12" t="str">
        <f>HYPERLINK("https://parts-sales.ru/parts/MAN/51965010680","Радиальное уплотнение вала")</f>
        <v>Радиальное уплотнение вала</v>
      </c>
      <c r="C1746" s="3" t="s">
        <v>17</v>
      </c>
      <c r="D1746" s="4">
        <v>7161.6</v>
      </c>
      <c r="E1746" s="4">
        <v>1175</v>
      </c>
      <c r="F1746" s="8">
        <v>0.84</v>
      </c>
      <c r="H1746" s="11"/>
      <c r="I1746" s="11"/>
      <c r="J1746" s="11"/>
    </row>
    <row r="1747" spans="1:10" ht="15.75" x14ac:dyDescent="0.3">
      <c r="A1747" s="13" t="str">
        <f>HYPERLINK("https://parts-sales.ru/parts/MAN/51965010758","51.96501-0758")</f>
        <v>51.96501-0758</v>
      </c>
      <c r="B1747" s="13" t="str">
        <f>HYPERLINK("https://parts-sales.ru/parts/MAN/51965010758","Круглое уплотнение 62X3")</f>
        <v>Круглое уплотнение 62X3</v>
      </c>
      <c r="C1747" s="5" t="s">
        <v>17</v>
      </c>
      <c r="D1747" s="6">
        <v>1100.4000000000001</v>
      </c>
      <c r="E1747" s="6">
        <v>262</v>
      </c>
      <c r="F1747" s="9">
        <v>0.76</v>
      </c>
      <c r="H1747" s="11"/>
      <c r="I1747" s="11"/>
      <c r="J1747" s="11"/>
    </row>
    <row r="1748" spans="1:10" ht="15.75" x14ac:dyDescent="0.3">
      <c r="A1748" s="12" t="str">
        <f>HYPERLINK("https://parts-sales.ru/parts/MAN/51965010763","51.96501-0763")</f>
        <v>51.96501-0763</v>
      </c>
      <c r="B1748" s="12" t="str">
        <f>HYPERLINK("https://parts-sales.ru/parts/MAN/51965010763","Круглое уплотнение 36,5X3,5-FKM2-60")</f>
        <v>Круглое уплотнение 36,5X3,5-FKM2-60</v>
      </c>
      <c r="C1748" s="3" t="s">
        <v>17</v>
      </c>
      <c r="D1748" s="4">
        <v>852</v>
      </c>
      <c r="E1748" s="4">
        <v>121</v>
      </c>
      <c r="F1748" s="8">
        <v>0.86</v>
      </c>
      <c r="H1748" s="11"/>
      <c r="I1748" s="11"/>
      <c r="J1748" s="11"/>
    </row>
    <row r="1749" spans="1:10" ht="15.75" x14ac:dyDescent="0.3">
      <c r="A1749" s="13" t="str">
        <f>HYPERLINK("https://parts-sales.ru/parts/MAN/51965040023","51.96504-0023")</f>
        <v>51.96504-0023</v>
      </c>
      <c r="B1749" s="13" t="str">
        <f>HYPERLINK("https://parts-sales.ru/parts/MAN/51965040023","Кольцо нилос")</f>
        <v>Кольцо нилос</v>
      </c>
      <c r="C1749" s="5" t="s">
        <v>17</v>
      </c>
      <c r="D1749" s="6">
        <v>1664.4</v>
      </c>
      <c r="E1749" s="6">
        <v>354</v>
      </c>
      <c r="F1749" s="9">
        <v>0.79</v>
      </c>
      <c r="H1749" s="11"/>
      <c r="I1749" s="11"/>
      <c r="J1749" s="11"/>
    </row>
    <row r="1750" spans="1:10" ht="15.75" x14ac:dyDescent="0.3">
      <c r="A1750" s="12" t="str">
        <f>HYPERLINK("https://parts-sales.ru/parts/MAN/51966010446","51.96601-0446")</f>
        <v>51.96601-0446</v>
      </c>
      <c r="B1750" s="12" t="str">
        <f>HYPERLINK("https://parts-sales.ru/parts/MAN/51966010446","Уплотнение 20X40X7X1,2-AFOE2")</f>
        <v>Уплотнение 20X40X7X1,2-AFOE2</v>
      </c>
      <c r="C1750" s="3" t="s">
        <v>17</v>
      </c>
      <c r="D1750" s="4">
        <v>1046.4000000000001</v>
      </c>
      <c r="E1750" s="4">
        <v>172</v>
      </c>
      <c r="F1750" s="8">
        <v>0.84</v>
      </c>
      <c r="H1750" s="11"/>
      <c r="I1750" s="11"/>
      <c r="J1750" s="11"/>
    </row>
    <row r="1751" spans="1:10" ht="15.75" x14ac:dyDescent="0.3">
      <c r="A1751" s="13" t="str">
        <f>HYPERLINK("https://parts-sales.ru/parts/MAN/51966010546","51.96601-0546")</f>
        <v>51.96601-0546</v>
      </c>
      <c r="B1751" s="13" t="str">
        <f>HYPERLINK("https://parts-sales.ru/parts/MAN/51966010546","Уплотнение 20X44X9X0,5-AFOE4")</f>
        <v>Уплотнение 20X44X9X0,5-AFOE4</v>
      </c>
      <c r="C1751" s="5" t="s">
        <v>17</v>
      </c>
      <c r="D1751" s="6">
        <v>668.4</v>
      </c>
      <c r="E1751" s="6">
        <v>145</v>
      </c>
      <c r="F1751" s="9">
        <v>0.78</v>
      </c>
      <c r="H1751" s="11"/>
      <c r="I1751" s="11"/>
      <c r="J1751" s="11"/>
    </row>
    <row r="1752" spans="1:10" ht="15.75" x14ac:dyDescent="0.3">
      <c r="A1752" s="12" t="str">
        <f>HYPERLINK("https://parts-sales.ru/parts/MAN/51966010593","51.96601-0593")</f>
        <v>51.96601-0593</v>
      </c>
      <c r="B1752" s="12" t="str">
        <f>HYPERLINK("https://parts-sales.ru/parts/MAN/51966010593","Уплотнение 26X44X9X1-AFO1")</f>
        <v>Уплотнение 26X44X9X1-AFO1</v>
      </c>
      <c r="C1752" s="3" t="s">
        <v>17</v>
      </c>
      <c r="D1752" s="4">
        <v>1885.2</v>
      </c>
      <c r="E1752" s="4">
        <v>329</v>
      </c>
      <c r="F1752" s="8">
        <v>0.83</v>
      </c>
      <c r="H1752" s="11"/>
      <c r="I1752" s="11"/>
      <c r="J1752" s="11"/>
    </row>
    <row r="1753" spans="1:10" ht="15.75" x14ac:dyDescent="0.3">
      <c r="A1753" s="13" t="str">
        <f>HYPERLINK("https://parts-sales.ru/parts/MAN/51966010603","51.96601-0603")</f>
        <v>51.96601-0603</v>
      </c>
      <c r="B1753" s="13" t="str">
        <f>HYPERLINK("https://parts-sales.ru/parts/MAN/51966010603","Уплотнение")</f>
        <v>Уплотнение</v>
      </c>
      <c r="C1753" s="5" t="s">
        <v>17</v>
      </c>
      <c r="D1753" s="6">
        <v>2008.8</v>
      </c>
      <c r="E1753" s="6">
        <v>495</v>
      </c>
      <c r="F1753" s="9">
        <v>0.75</v>
      </c>
      <c r="H1753" s="11"/>
      <c r="I1753" s="11"/>
      <c r="J1753" s="11"/>
    </row>
    <row r="1754" spans="1:10" ht="15.75" x14ac:dyDescent="0.3">
      <c r="A1754" s="12" t="str">
        <f>HYPERLINK("https://parts-sales.ru/parts/MAN/51968200238","51.96820-0238")</f>
        <v>51.96820-0238</v>
      </c>
      <c r="B1754" s="12" t="str">
        <f>HYPERLINK("https://parts-sales.ru/parts/MAN/51968200238","Поликлиновый ремень 8PK880/28,48")</f>
        <v>Поликлиновый ремень 8PK880/28,48</v>
      </c>
      <c r="C1754" s="3" t="s">
        <v>17</v>
      </c>
      <c r="D1754" s="4">
        <v>5685.6</v>
      </c>
      <c r="E1754" s="4">
        <v>1383</v>
      </c>
      <c r="F1754" s="8">
        <v>0.76</v>
      </c>
      <c r="H1754" s="11"/>
      <c r="I1754" s="11"/>
      <c r="J1754" s="11"/>
    </row>
    <row r="1755" spans="1:10" ht="15.75" x14ac:dyDescent="0.3">
      <c r="A1755" s="13" t="str">
        <f>HYPERLINK("https://parts-sales.ru/parts/MAN/51968200239","51.96820-0239")</f>
        <v>51.96820-0239</v>
      </c>
      <c r="B1755" s="13" t="str">
        <f>HYPERLINK("https://parts-sales.ru/parts/MAN/51968200239","Поликлиновый ремень 8PK1376/28,48")</f>
        <v>Поликлиновый ремень 8PK1376/28,48</v>
      </c>
      <c r="C1755" s="5" t="s">
        <v>17</v>
      </c>
      <c r="D1755" s="6">
        <v>4930.8</v>
      </c>
      <c r="E1755" s="6">
        <v>3068</v>
      </c>
      <c r="F1755" s="9">
        <v>0.38</v>
      </c>
      <c r="H1755" s="11"/>
      <c r="I1755" s="11"/>
      <c r="J1755" s="11"/>
    </row>
    <row r="1756" spans="1:10" ht="15.75" x14ac:dyDescent="0.3">
      <c r="A1756" s="12" t="str">
        <f>HYPERLINK("https://parts-sales.ru/parts/MAN/51968200310","51.96820-0310")</f>
        <v>51.96820-0310</v>
      </c>
      <c r="B1756" s="12" t="str">
        <f>HYPERLINK("https://parts-sales.ru/parts/MAN/51968200310","Поликлиновый ремень 10PK1580/35,60")</f>
        <v>Поликлиновый ремень 10PK1580/35,60</v>
      </c>
      <c r="C1756" s="3" t="s">
        <v>17</v>
      </c>
      <c r="D1756" s="4">
        <v>5916.82</v>
      </c>
      <c r="E1756" s="4">
        <v>3551</v>
      </c>
      <c r="F1756" s="8">
        <v>0.4</v>
      </c>
      <c r="H1756" s="11"/>
      <c r="I1756" s="11"/>
      <c r="J1756" s="11"/>
    </row>
    <row r="1757" spans="1:10" ht="15.75" x14ac:dyDescent="0.3">
      <c r="A1757" s="13" t="str">
        <f>HYPERLINK("https://parts-sales.ru/parts/MAN/51968200326","51.96820-0326")</f>
        <v>51.96820-0326</v>
      </c>
      <c r="B1757" s="13" t="str">
        <f>HYPERLINK("https://parts-sales.ru/parts/MAN/51968200326","Поликлиновый ремень 8PK1548/28,28")</f>
        <v>Поликлиновый ремень 8PK1548/28,28</v>
      </c>
      <c r="C1757" s="5" t="s">
        <v>17</v>
      </c>
      <c r="D1757" s="6">
        <v>7998</v>
      </c>
      <c r="E1757" s="6">
        <v>2131</v>
      </c>
      <c r="F1757" s="9">
        <v>0.73</v>
      </c>
      <c r="H1757" s="11"/>
      <c r="I1757" s="11"/>
      <c r="J1757" s="11"/>
    </row>
    <row r="1758" spans="1:10" ht="15.75" x14ac:dyDescent="0.3">
      <c r="A1758" s="12" t="str">
        <f>HYPERLINK("https://parts-sales.ru/parts/MAN/51968200329","51.96820-0329")</f>
        <v>51.96820-0329</v>
      </c>
      <c r="B1758" s="12" t="str">
        <f>HYPERLINK("https://parts-sales.ru/parts/MAN/51968200329","Поликлиновый ремень 6PK1030/21,36")</f>
        <v>Поликлиновый ремень 6PK1030/21,36</v>
      </c>
      <c r="C1758" s="3" t="s">
        <v>17</v>
      </c>
      <c r="D1758" s="4">
        <v>4692</v>
      </c>
      <c r="E1758" s="4">
        <v>1195</v>
      </c>
      <c r="F1758" s="8">
        <v>0.75</v>
      </c>
      <c r="H1758" s="11"/>
      <c r="I1758" s="11"/>
      <c r="J1758" s="11"/>
    </row>
    <row r="1759" spans="1:10" ht="15.75" x14ac:dyDescent="0.3">
      <c r="A1759" s="13" t="str">
        <f>HYPERLINK("https://parts-sales.ru/parts/MAN/51968200352","51.96820-0352")</f>
        <v>51.96820-0352</v>
      </c>
      <c r="B1759" s="13" t="str">
        <f>HYPERLINK("https://parts-sales.ru/parts/MAN/51968200352","Поликлиновый ремень 8PK1480/28,28")</f>
        <v>Поликлиновый ремень 8PK1480/28,28</v>
      </c>
      <c r="C1759" s="5" t="s">
        <v>17</v>
      </c>
      <c r="D1759" s="6">
        <v>8422.7999999999993</v>
      </c>
      <c r="E1759" s="6">
        <v>2389</v>
      </c>
      <c r="F1759" s="9">
        <v>0.72</v>
      </c>
      <c r="H1759" s="11"/>
      <c r="I1759" s="11"/>
      <c r="J1759" s="11"/>
    </row>
    <row r="1760" spans="1:10" ht="15.75" x14ac:dyDescent="0.3">
      <c r="A1760" s="12" t="str">
        <f>HYPERLINK("https://parts-sales.ru/parts/MAN/51968200373","51.96820-0373")</f>
        <v>51.96820-0373</v>
      </c>
      <c r="B1760" s="12" t="str">
        <f>HYPERLINK("https://parts-sales.ru/parts/MAN/51968200373","Поликлиновый ремень 8PK1990/28,48")</f>
        <v>Поликлиновый ремень 8PK1990/28,48</v>
      </c>
      <c r="C1760" s="3" t="s">
        <v>17</v>
      </c>
      <c r="D1760" s="4">
        <v>9464.4</v>
      </c>
      <c r="E1760" s="4">
        <v>3179</v>
      </c>
      <c r="F1760" s="8">
        <v>0.66</v>
      </c>
      <c r="H1760" s="11"/>
      <c r="I1760" s="11"/>
      <c r="J1760" s="11"/>
    </row>
    <row r="1761" spans="1:10" ht="15.75" x14ac:dyDescent="0.3">
      <c r="A1761" s="13" t="str">
        <f>HYPERLINK("https://parts-sales.ru/parts/MAN/51974010573","51.97401-0573")</f>
        <v>51.97401-0573</v>
      </c>
      <c r="B1761" s="13" t="str">
        <f>HYPERLINK("https://parts-sales.ru/parts/MAN/51974010573","Скоба для крепления труб B32,2X25X46-9X1")</f>
        <v>Скоба для крепления труб B32,2X25X46-9X1</v>
      </c>
      <c r="C1761" s="5" t="s">
        <v>17</v>
      </c>
      <c r="D1761" s="6">
        <v>469.2</v>
      </c>
      <c r="E1761" s="6">
        <v>113</v>
      </c>
      <c r="F1761" s="9">
        <v>0.76</v>
      </c>
      <c r="H1761" s="11"/>
      <c r="I1761" s="11"/>
      <c r="J1761" s="11"/>
    </row>
    <row r="1762" spans="1:10" ht="15.75" x14ac:dyDescent="0.3">
      <c r="A1762" s="12" t="str">
        <f>HYPERLINK("https://parts-sales.ru/parts/MAN/51974010575","51.97401-0575")</f>
        <v>51.97401-0575</v>
      </c>
      <c r="B1762" s="12" t="str">
        <f>HYPERLINK("https://parts-sales.ru/parts/MAN/51974010575","Держатель")</f>
        <v>Держатель</v>
      </c>
      <c r="C1762" s="3" t="s">
        <v>17</v>
      </c>
      <c r="D1762" s="4">
        <v>775.2</v>
      </c>
      <c r="E1762" s="4">
        <v>77</v>
      </c>
      <c r="F1762" s="8">
        <v>0.9</v>
      </c>
      <c r="H1762" s="11"/>
      <c r="I1762" s="11"/>
      <c r="J1762" s="11"/>
    </row>
    <row r="1763" spans="1:10" ht="15.75" x14ac:dyDescent="0.3">
      <c r="A1763" s="13" t="str">
        <f>HYPERLINK("https://parts-sales.ru/parts/MAN/51974300001","51.97430-0001")</f>
        <v>51.97430-0001</v>
      </c>
      <c r="B1763" s="13" t="str">
        <f>HYPERLINK("https://parts-sales.ru/parts/MAN/51974300001","Держатель трубы NW10-PA66-GF30-SW")</f>
        <v>Держатель трубы NW10-PA66-GF30-SW</v>
      </c>
      <c r="C1763" s="5" t="s">
        <v>17</v>
      </c>
      <c r="D1763" s="6">
        <v>1483.2</v>
      </c>
      <c r="E1763" s="6">
        <v>296</v>
      </c>
      <c r="F1763" s="9">
        <v>0.8</v>
      </c>
      <c r="H1763" s="11"/>
      <c r="I1763" s="11"/>
      <c r="J1763" s="11"/>
    </row>
    <row r="1764" spans="1:10" ht="15.75" x14ac:dyDescent="0.3">
      <c r="A1764" s="12" t="str">
        <f>HYPERLINK("https://parts-sales.ru/parts/MAN/51974300002","51.97430-0002")</f>
        <v>51.97430-0002</v>
      </c>
      <c r="B1764" s="12" t="str">
        <f>HYPERLINK("https://parts-sales.ru/parts/MAN/51974300002","Держатель трубы NW13-PA66-GF30-SW")</f>
        <v>Держатель трубы NW13-PA66-GF30-SW</v>
      </c>
      <c r="C1764" s="3" t="s">
        <v>17</v>
      </c>
      <c r="D1764" s="4">
        <v>1483.2</v>
      </c>
      <c r="E1764" s="4">
        <v>346</v>
      </c>
      <c r="F1764" s="8">
        <v>0.77</v>
      </c>
      <c r="H1764" s="11"/>
      <c r="I1764" s="11"/>
      <c r="J1764" s="11"/>
    </row>
    <row r="1765" spans="1:10" ht="15.75" x14ac:dyDescent="0.3">
      <c r="A1765" s="13" t="str">
        <f>HYPERLINK("https://parts-sales.ru/parts/MAN/51974400171","51.97440-0171")</f>
        <v>51.97440-0171</v>
      </c>
      <c r="B1765" s="13" t="str">
        <f>HYPERLINK("https://parts-sales.ru/parts/MAN/51974400171","Хомутик для шланга 12-14,5X7X0,6-1.4301")</f>
        <v>Хомутик для шланга 12-14,5X7X0,6-1.4301</v>
      </c>
      <c r="C1765" s="5" t="s">
        <v>17</v>
      </c>
      <c r="D1765" s="6">
        <v>266.39999999999998</v>
      </c>
      <c r="E1765" s="6">
        <v>57</v>
      </c>
      <c r="F1765" s="9">
        <v>0.79</v>
      </c>
      <c r="H1765" s="11"/>
      <c r="I1765" s="11"/>
      <c r="J1765" s="11"/>
    </row>
    <row r="1766" spans="1:10" ht="15.75" x14ac:dyDescent="0.3">
      <c r="A1766" s="12" t="str">
        <f>HYPERLINK("https://parts-sales.ru/parts/MAN/51974400173","51.97440-0173")</f>
        <v>51.97440-0173</v>
      </c>
      <c r="B1766" s="12" t="str">
        <f>HYPERLINK("https://parts-sales.ru/parts/MAN/51974400173","Хомутик для шланга 28,4-31,6X7X0,6-1.430")</f>
        <v>Хомутик для шланга 28,4-31,6X7X0,6-1.430</v>
      </c>
      <c r="C1766" s="3" t="s">
        <v>17</v>
      </c>
      <c r="D1766" s="4">
        <v>291.60000000000002</v>
      </c>
      <c r="E1766" s="4">
        <v>39</v>
      </c>
      <c r="F1766" s="8">
        <v>0.87</v>
      </c>
      <c r="H1766" s="11"/>
      <c r="I1766" s="11"/>
      <c r="J1766" s="11"/>
    </row>
    <row r="1767" spans="1:10" ht="15.75" x14ac:dyDescent="0.3">
      <c r="A1767" s="13" t="str">
        <f>HYPERLINK("https://parts-sales.ru/parts/MAN/51974400176","51.97440-0176")</f>
        <v>51.97440-0176</v>
      </c>
      <c r="B1767" s="13" t="str">
        <f>HYPERLINK("https://parts-sales.ru/parts/MAN/51974400176","Хомутик для шланга 25,4-28,6X7X0,6-1.430")</f>
        <v>Хомутик для шланга 25,4-28,6X7X0,6-1.430</v>
      </c>
      <c r="C1767" s="5" t="s">
        <v>17</v>
      </c>
      <c r="D1767" s="6">
        <v>320.39999999999998</v>
      </c>
      <c r="E1767" s="6">
        <v>68</v>
      </c>
      <c r="F1767" s="9">
        <v>0.79</v>
      </c>
      <c r="H1767" s="11"/>
      <c r="I1767" s="11"/>
      <c r="J1767" s="11"/>
    </row>
    <row r="1768" spans="1:10" ht="15.75" x14ac:dyDescent="0.3">
      <c r="A1768" s="12" t="str">
        <f>HYPERLINK("https://parts-sales.ru/parts/MAN/51974400177","51.97440-0177")</f>
        <v>51.97440-0177</v>
      </c>
      <c r="B1768" s="12" t="str">
        <f>HYPERLINK("https://parts-sales.ru/parts/MAN/51974400177","Хомутик для шланга 19,4-22,6")</f>
        <v>Хомутик для шланга 19,4-22,6</v>
      </c>
      <c r="C1768" s="3" t="s">
        <v>17</v>
      </c>
      <c r="D1768" s="4">
        <v>285.60000000000002</v>
      </c>
      <c r="E1768" s="4">
        <v>38</v>
      </c>
      <c r="F1768" s="8">
        <v>0.87</v>
      </c>
      <c r="H1768" s="11"/>
      <c r="I1768" s="11"/>
      <c r="J1768" s="11"/>
    </row>
    <row r="1769" spans="1:10" ht="15.75" x14ac:dyDescent="0.3">
      <c r="A1769" s="13" t="str">
        <f>HYPERLINK("https://parts-sales.ru/parts/MAN/51974400178","51.97440-0178")</f>
        <v>51.97440-0178</v>
      </c>
      <c r="B1769" s="13" t="str">
        <f>HYPERLINK("https://parts-sales.ru/parts/MAN/51974400178","Хомутик для шланга 29,9-33,1X7X0,6-1.430")</f>
        <v>Хомутик для шланга 29,9-33,1X7X0,6-1.430</v>
      </c>
      <c r="C1769" s="5" t="s">
        <v>17</v>
      </c>
      <c r="D1769" s="6">
        <v>291.60000000000002</v>
      </c>
      <c r="E1769" s="6">
        <v>50</v>
      </c>
      <c r="F1769" s="9">
        <v>0.83</v>
      </c>
      <c r="H1769" s="11"/>
      <c r="I1769" s="11"/>
      <c r="J1769" s="11"/>
    </row>
    <row r="1770" spans="1:10" ht="15.75" x14ac:dyDescent="0.3">
      <c r="A1770" s="12" t="str">
        <f>HYPERLINK("https://parts-sales.ru/parts/MAN/51974400179","51.97440-0179")</f>
        <v>51.97440-0179</v>
      </c>
      <c r="B1770" s="12" t="str">
        <f>HYPERLINK("https://parts-sales.ru/parts/MAN/51974400179","Хомутик для шланга 9,4-11,9X7X0,6-1.4301")</f>
        <v>Хомутик для шланга 9,4-11,9X7X0,6-1.4301</v>
      </c>
      <c r="C1770" s="3" t="s">
        <v>17</v>
      </c>
      <c r="D1770" s="4">
        <v>308.39999999999998</v>
      </c>
      <c r="E1770" s="4">
        <v>59</v>
      </c>
      <c r="F1770" s="8">
        <v>0.81</v>
      </c>
      <c r="H1770" s="11"/>
      <c r="I1770" s="11"/>
      <c r="J1770" s="11"/>
    </row>
    <row r="1771" spans="1:10" ht="15.75" x14ac:dyDescent="0.3">
      <c r="A1771" s="13" t="str">
        <f>HYPERLINK("https://parts-sales.ru/parts/MAN/51974850075","51.97485-0075")</f>
        <v>51.97485-0075</v>
      </c>
      <c r="B1771" s="13" t="str">
        <f>HYPERLINK("https://parts-sales.ru/parts/MAN/51974850075","Держатель")</f>
        <v>Держатель</v>
      </c>
      <c r="C1771" s="5" t="s">
        <v>17</v>
      </c>
      <c r="D1771" s="6">
        <v>775.2</v>
      </c>
      <c r="E1771" s="6">
        <v>175</v>
      </c>
      <c r="F1771" s="9">
        <v>0.77</v>
      </c>
      <c r="H1771" s="11"/>
      <c r="I1771" s="11"/>
      <c r="J1771" s="11"/>
    </row>
    <row r="1772" spans="1:10" ht="15.75" x14ac:dyDescent="0.3">
      <c r="A1772" s="12" t="str">
        <f>HYPERLINK("https://parts-sales.ru/parts/MAN/51974850355","51.97485-0355")</f>
        <v>51.97485-0355</v>
      </c>
      <c r="B1772" s="12" t="str">
        <f>HYPERLINK("https://parts-sales.ru/parts/MAN/51974850355","Держатель")</f>
        <v>Держатель</v>
      </c>
      <c r="C1772" s="3" t="s">
        <v>17</v>
      </c>
      <c r="D1772" s="4">
        <v>3603.6</v>
      </c>
      <c r="E1772" s="4">
        <v>836</v>
      </c>
      <c r="F1772" s="8">
        <v>0.77</v>
      </c>
      <c r="H1772" s="11"/>
      <c r="I1772" s="11"/>
      <c r="J1772" s="11"/>
    </row>
    <row r="1773" spans="1:10" ht="15.75" x14ac:dyDescent="0.3">
      <c r="A1773" s="13" t="str">
        <f>HYPERLINK("https://parts-sales.ru/parts/MAN/51976010301","51.97601-0301")</f>
        <v>51.97601-0301</v>
      </c>
      <c r="B1773" s="13" t="str">
        <f>HYPERLINK("https://parts-sales.ru/parts/MAN/51976010301","Прижимная пружина 1,8X8,2X74-FST")</f>
        <v>Прижимная пружина 1,8X8,2X74-FST</v>
      </c>
      <c r="C1773" s="5" t="s">
        <v>17</v>
      </c>
      <c r="D1773" s="6">
        <v>3714</v>
      </c>
      <c r="E1773" s="6">
        <v>2291</v>
      </c>
      <c r="F1773" s="9">
        <v>0.38</v>
      </c>
      <c r="H1773" s="11"/>
      <c r="I1773" s="11"/>
      <c r="J1773" s="11"/>
    </row>
    <row r="1774" spans="1:10" ht="15.75" x14ac:dyDescent="0.3">
      <c r="A1774" s="12" t="str">
        <f>HYPERLINK("https://parts-sales.ru/parts/MAN/51981030061","51.98103-0061")</f>
        <v>51.98103-0061</v>
      </c>
      <c r="B1774" s="12" t="str">
        <f>HYPERLINK("https://parts-sales.ru/parts/MAN/51981030061","Кольцевой штуцер D6,1/M10X1")</f>
        <v>Кольцевой штуцер D6,1/M10X1</v>
      </c>
      <c r="C1774" s="3" t="s">
        <v>17</v>
      </c>
      <c r="D1774" s="4">
        <v>5170.8</v>
      </c>
      <c r="E1774" s="4">
        <v>739</v>
      </c>
      <c r="F1774" s="8">
        <v>0.86</v>
      </c>
      <c r="H1774" s="11"/>
      <c r="I1774" s="11"/>
      <c r="J1774" s="11"/>
    </row>
    <row r="1775" spans="1:10" ht="15.75" x14ac:dyDescent="0.3">
      <c r="A1775" s="13" t="str">
        <f>HYPERLINK("https://parts-sales.ru/parts/MAN/51981030085","51.98103-0085")</f>
        <v>51.98103-0085</v>
      </c>
      <c r="B1775" s="13" t="str">
        <f>HYPERLINK("https://parts-sales.ru/parts/MAN/51981030085","Кольцевой штуцер")</f>
        <v>Кольцевой штуцер</v>
      </c>
      <c r="C1775" s="5" t="s">
        <v>17</v>
      </c>
      <c r="D1775" s="6">
        <v>6573.6</v>
      </c>
      <c r="E1775" s="6">
        <v>2231</v>
      </c>
      <c r="F1775" s="9">
        <v>0.66</v>
      </c>
      <c r="H1775" s="11"/>
      <c r="I1775" s="11"/>
      <c r="J1775" s="11"/>
    </row>
    <row r="1776" spans="1:10" ht="15.75" x14ac:dyDescent="0.3">
      <c r="A1776" s="12" t="str">
        <f>HYPERLINK("https://parts-sales.ru/parts/MAN/51981120354","51.98112-0354")</f>
        <v>51.98112-0354</v>
      </c>
      <c r="B1776" s="12" t="str">
        <f>HYPERLINK("https://parts-sales.ru/parts/MAN/51981120354","Глухой фланец 76X48X12")</f>
        <v>Глухой фланец 76X48X12</v>
      </c>
      <c r="C1776" s="3" t="s">
        <v>17</v>
      </c>
      <c r="D1776" s="4">
        <v>8184</v>
      </c>
      <c r="E1776" s="4">
        <v>2458</v>
      </c>
      <c r="F1776" s="8">
        <v>0.7</v>
      </c>
      <c r="H1776" s="11"/>
      <c r="I1776" s="11"/>
      <c r="J1776" s="11"/>
    </row>
    <row r="1777" spans="1:10" ht="15.75" x14ac:dyDescent="0.3">
      <c r="A1777" s="13" t="str">
        <f>HYPERLINK("https://parts-sales.ru/parts/MAN/51981120355","51.98112-0355")</f>
        <v>51.98112-0355</v>
      </c>
      <c r="B1777" s="13" t="str">
        <f>HYPERLINK("https://parts-sales.ru/parts/MAN/51981120355","Глухой фланец 98X70X9")</f>
        <v>Глухой фланец 98X70X9</v>
      </c>
      <c r="C1777" s="5" t="s">
        <v>17</v>
      </c>
      <c r="D1777" s="6">
        <v>8184</v>
      </c>
      <c r="E1777" s="6">
        <v>1691</v>
      </c>
      <c r="F1777" s="9">
        <v>0.79</v>
      </c>
      <c r="H1777" s="11"/>
      <c r="I1777" s="11"/>
      <c r="J1777" s="11"/>
    </row>
    <row r="1778" spans="1:10" ht="15.75" x14ac:dyDescent="0.3">
      <c r="A1778" s="12" t="str">
        <f>HYPERLINK("https://parts-sales.ru/parts/MAN/51981300247","51.98130-0247")</f>
        <v>51.98130-0247</v>
      </c>
      <c r="B1778" s="12" t="str">
        <f>HYPERLINK("https://parts-sales.ru/parts/MAN/51981300247","Ввертный штуцер M30X1,5-M18X1,5-9SMNPB28")</f>
        <v>Ввертный штуцер M30X1,5-M18X1,5-9SMNPB28</v>
      </c>
      <c r="C1778" s="3" t="s">
        <v>17</v>
      </c>
      <c r="D1778" s="4">
        <v>4310.3999999999996</v>
      </c>
      <c r="E1778" s="4">
        <v>255</v>
      </c>
      <c r="F1778" s="8">
        <v>0.94</v>
      </c>
      <c r="H1778" s="11"/>
      <c r="I1778" s="11"/>
      <c r="J1778" s="11"/>
    </row>
    <row r="1779" spans="1:10" ht="15.75" x14ac:dyDescent="0.3">
      <c r="A1779" s="13" t="str">
        <f>HYPERLINK("https://parts-sales.ru/parts/MAN/51981300407","51.98130-0407")</f>
        <v>51.98130-0407</v>
      </c>
      <c r="B1779" s="13" t="str">
        <f>HYPERLINK("https://parts-sales.ru/parts/MAN/51981300407","Переходный штуцер")</f>
        <v>Переходный штуцер</v>
      </c>
      <c r="C1779" s="5" t="s">
        <v>17</v>
      </c>
      <c r="D1779" s="6">
        <v>4719.6000000000004</v>
      </c>
      <c r="E1779" s="6">
        <v>1373</v>
      </c>
      <c r="F1779" s="9">
        <v>0.71</v>
      </c>
      <c r="H1779" s="11"/>
      <c r="I1779" s="11"/>
      <c r="J1779" s="11"/>
    </row>
    <row r="1780" spans="1:10" ht="15.75" x14ac:dyDescent="0.3">
      <c r="A1780" s="12" t="str">
        <f>HYPERLINK("https://parts-sales.ru/parts/MAN/51981310090","51.98131-0090")</f>
        <v>51.98131-0090</v>
      </c>
      <c r="B1780" s="12" t="str">
        <f>HYPERLINK("https://parts-sales.ru/parts/MAN/51981310090","Соединительный штуцер шланга 32-M32X1,5-")</f>
        <v>Соединительный штуцер шланга 32-M32X1,5-</v>
      </c>
      <c r="C1780" s="3" t="s">
        <v>17</v>
      </c>
      <c r="D1780" s="4">
        <v>8055.6</v>
      </c>
      <c r="E1780" s="4">
        <v>1898</v>
      </c>
      <c r="F1780" s="8">
        <v>0.76</v>
      </c>
      <c r="H1780" s="11"/>
      <c r="I1780" s="11"/>
      <c r="J1780" s="11"/>
    </row>
    <row r="1781" spans="1:10" ht="15.75" x14ac:dyDescent="0.3">
      <c r="A1781" s="13" t="str">
        <f>HYPERLINK("https://parts-sales.ru/parts/MAN/51981310225","51.98131-0225")</f>
        <v>51.98131-0225</v>
      </c>
      <c r="B1781" s="13" t="str">
        <f>HYPERLINK("https://parts-sales.ru/parts/MAN/51981310225","Соединительная деталь")</f>
        <v>Соединительная деталь</v>
      </c>
      <c r="C1781" s="5" t="s">
        <v>17</v>
      </c>
      <c r="D1781" s="6">
        <v>5139.6000000000004</v>
      </c>
      <c r="E1781" s="6">
        <v>1157</v>
      </c>
      <c r="F1781" s="9">
        <v>0.77</v>
      </c>
      <c r="H1781" s="11"/>
      <c r="I1781" s="11"/>
      <c r="J1781" s="11"/>
    </row>
    <row r="1782" spans="1:10" ht="15.75" x14ac:dyDescent="0.3">
      <c r="A1782" s="12" t="str">
        <f>HYPERLINK("https://parts-sales.ru/parts/MAN/51981500076","51.98150-0076")</f>
        <v>51.98150-0076</v>
      </c>
      <c r="B1782" s="12" t="str">
        <f>HYPERLINK("https://parts-sales.ru/parts/MAN/51981500076","Полый винт M10X1X19E-9SMNPB28K-SW14")</f>
        <v>Полый винт M10X1X19E-9SMNPB28K-SW14</v>
      </c>
      <c r="C1782" s="3" t="s">
        <v>17</v>
      </c>
      <c r="D1782" s="4">
        <v>2642.4</v>
      </c>
      <c r="E1782" s="4">
        <v>581</v>
      </c>
      <c r="F1782" s="8">
        <v>0.78</v>
      </c>
      <c r="H1782" s="11"/>
      <c r="I1782" s="11"/>
      <c r="J1782" s="11"/>
    </row>
    <row r="1783" spans="1:10" ht="15.75" x14ac:dyDescent="0.3">
      <c r="A1783" s="13" t="str">
        <f>HYPERLINK("https://parts-sales.ru/parts/MAN/51981500110","51.98150-0110")</f>
        <v>51.98150-0110</v>
      </c>
      <c r="B1783" s="13" t="str">
        <f>HYPERLINK("https://parts-sales.ru/parts/MAN/51981500110","Полый винт M14X1,5X26E-9SMNPB28K")</f>
        <v>Полый винт M14X1,5X26E-9SMNPB28K</v>
      </c>
      <c r="C1783" s="5" t="s">
        <v>17</v>
      </c>
      <c r="D1783" s="6">
        <v>1688.4</v>
      </c>
      <c r="E1783" s="6">
        <v>617</v>
      </c>
      <c r="F1783" s="9">
        <v>0.63</v>
      </c>
      <c r="H1783" s="11"/>
      <c r="I1783" s="11"/>
      <c r="J1783" s="11"/>
    </row>
    <row r="1784" spans="1:10" ht="15.75" x14ac:dyDescent="0.3">
      <c r="A1784" s="12" t="str">
        <f>HYPERLINK("https://parts-sales.ru/parts/MAN/51981500164","51.98150-0164")</f>
        <v>51.98150-0164</v>
      </c>
      <c r="B1784" s="12" t="str">
        <f>HYPERLINK("https://parts-sales.ru/parts/MAN/51981500164","Полый винт")</f>
        <v>Полый винт</v>
      </c>
      <c r="C1784" s="3" t="s">
        <v>17</v>
      </c>
      <c r="D1784" s="4">
        <v>4207.2</v>
      </c>
      <c r="E1784" s="4">
        <v>959</v>
      </c>
      <c r="F1784" s="8">
        <v>0.77</v>
      </c>
      <c r="H1784" s="11"/>
      <c r="I1784" s="11"/>
      <c r="J1784" s="11"/>
    </row>
    <row r="1785" spans="1:10" ht="15.75" x14ac:dyDescent="0.3">
      <c r="A1785" s="13" t="str">
        <f>HYPERLINK("https://parts-sales.ru/parts/MAN/51981500167","51.98150-0167")</f>
        <v>51.98150-0167</v>
      </c>
      <c r="B1785" s="13" t="str">
        <f>HYPERLINK("https://parts-sales.ru/parts/MAN/51981500167","Полый винт M6X15,5E-42CRMOS4V-ZNPHR3F")</f>
        <v>Полый винт M6X15,5E-42CRMOS4V-ZNPHR3F</v>
      </c>
      <c r="C1785" s="5" t="s">
        <v>17</v>
      </c>
      <c r="D1785" s="6">
        <v>1622.4</v>
      </c>
      <c r="E1785" s="6">
        <v>385</v>
      </c>
      <c r="F1785" s="9">
        <v>0.76</v>
      </c>
      <c r="H1785" s="11"/>
      <c r="I1785" s="11"/>
      <c r="J1785" s="11"/>
    </row>
    <row r="1786" spans="1:10" ht="15.75" x14ac:dyDescent="0.3">
      <c r="A1786" s="12" t="str">
        <f>HYPERLINK("https://parts-sales.ru/parts/MAN/51981500204","51.98150-0204")</f>
        <v>51.98150-0204</v>
      </c>
      <c r="B1786" s="12" t="str">
        <f>HYPERLINK("https://parts-sales.ru/parts/MAN/51981500204","Полый винт M18X1,5SAE-DN11,8")</f>
        <v>Полый винт M18X1,5SAE-DN11,8</v>
      </c>
      <c r="C1786" s="3" t="s">
        <v>17</v>
      </c>
      <c r="D1786" s="4">
        <v>5326.8</v>
      </c>
      <c r="E1786" s="4">
        <v>870</v>
      </c>
      <c r="F1786" s="8">
        <v>0.84</v>
      </c>
      <c r="H1786" s="11"/>
      <c r="I1786" s="11"/>
      <c r="J1786" s="11"/>
    </row>
    <row r="1787" spans="1:10" ht="15.75" x14ac:dyDescent="0.3">
      <c r="A1787" s="13" t="str">
        <f>HYPERLINK("https://parts-sales.ru/parts/MAN/51981806005","51.98180-6005")</f>
        <v>51.98180-6005</v>
      </c>
      <c r="B1787" s="13" t="str">
        <f>HYPERLINK("https://parts-sales.ru/parts/MAN/51981806005","Угловой соедин. штуцер NG12 NW10 KUEHLWA")</f>
        <v>Угловой соедин. штуцер NG12 NW10 KUEHLWA</v>
      </c>
      <c r="C1787" s="5" t="s">
        <v>17</v>
      </c>
      <c r="D1787" s="6">
        <v>1189.2</v>
      </c>
      <c r="E1787" s="6">
        <v>297</v>
      </c>
      <c r="F1787" s="9">
        <v>0.75</v>
      </c>
      <c r="H1787" s="11"/>
      <c r="I1787" s="11"/>
      <c r="J1787" s="11"/>
    </row>
    <row r="1788" spans="1:10" ht="15.75" x14ac:dyDescent="0.3">
      <c r="A1788" s="12" t="str">
        <f>HYPERLINK("https://parts-sales.ru/parts/MAN/51981806011","51.98180-6011")</f>
        <v>51.98180-6011</v>
      </c>
      <c r="B1788" s="12" t="str">
        <f>HYPERLINK("https://parts-sales.ru/parts/MAN/51981806011","Соединительный штуцер")</f>
        <v>Соединительный штуцер</v>
      </c>
      <c r="C1788" s="3" t="s">
        <v>17</v>
      </c>
      <c r="D1788" s="4">
        <v>1107.5999999999999</v>
      </c>
      <c r="E1788" s="4">
        <v>298</v>
      </c>
      <c r="F1788" s="8">
        <v>0.73</v>
      </c>
      <c r="H1788" s="11"/>
      <c r="I1788" s="11"/>
      <c r="J1788" s="11"/>
    </row>
    <row r="1789" spans="1:10" ht="15.75" x14ac:dyDescent="0.3">
      <c r="A1789" s="13" t="str">
        <f>HYPERLINK("https://parts-sales.ru/parts/MAN/51981810008","51.98181-0008")</f>
        <v>51.98181-0008</v>
      </c>
      <c r="B1789" s="13" t="str">
        <f>HYPERLINK("https://parts-sales.ru/parts/MAN/51981810008","Штекер")</f>
        <v>Штекер</v>
      </c>
      <c r="C1789" s="5" t="s">
        <v>17</v>
      </c>
      <c r="D1789" s="6">
        <v>1012.8</v>
      </c>
      <c r="E1789" s="6">
        <v>387</v>
      </c>
      <c r="F1789" s="9">
        <v>0.62</v>
      </c>
      <c r="H1789" s="11"/>
      <c r="I1789" s="11"/>
      <c r="J1789" s="11"/>
    </row>
    <row r="1790" spans="1:10" ht="15.75" x14ac:dyDescent="0.3">
      <c r="A1790" s="12" t="str">
        <f>HYPERLINK("https://parts-sales.ru/parts/MAN/51981810023","51.98181-0023")</f>
        <v>51.98181-0023</v>
      </c>
      <c r="B1790" s="12" t="str">
        <f>HYPERLINK("https://parts-sales.ru/parts/MAN/51981810023","Штутцер перегородки чугунный M16X1,5-D17")</f>
        <v>Штутцер перегородки чугунный M16X1,5-D17</v>
      </c>
      <c r="C1790" s="3" t="s">
        <v>17</v>
      </c>
      <c r="D1790" s="4">
        <v>2712</v>
      </c>
      <c r="E1790" s="4">
        <v>836</v>
      </c>
      <c r="F1790" s="8">
        <v>0.69</v>
      </c>
      <c r="H1790" s="11"/>
      <c r="I1790" s="11"/>
      <c r="J1790" s="11"/>
    </row>
    <row r="1791" spans="1:10" ht="15.75" x14ac:dyDescent="0.3">
      <c r="A1791" s="13" t="str">
        <f>HYPERLINK("https://parts-sales.ru/parts/MAN/51981810030","51.98181-0030")</f>
        <v>51.98181-0030</v>
      </c>
      <c r="B1791" s="13" t="str">
        <f>HYPERLINK("https://parts-sales.ru/parts/MAN/51981810030","Ввертный штуцер NG6/M12X1,5-CUZN40PB")</f>
        <v>Ввертный штуцер NG6/M12X1,5-CUZN40PB</v>
      </c>
      <c r="C1791" s="5" t="s">
        <v>17</v>
      </c>
      <c r="D1791" s="6">
        <v>2931.6</v>
      </c>
      <c r="E1791" s="6">
        <v>192</v>
      </c>
      <c r="F1791" s="9">
        <v>0.93</v>
      </c>
      <c r="H1791" s="11"/>
      <c r="I1791" s="11"/>
      <c r="J1791" s="11"/>
    </row>
    <row r="1792" spans="1:10" ht="15.75" x14ac:dyDescent="0.3">
      <c r="A1792" s="12" t="str">
        <f>HYPERLINK("https://parts-sales.ru/parts/MAN/51981816011","51.98181-6011")</f>
        <v>51.98181-6011</v>
      </c>
      <c r="B1792" s="12" t="str">
        <f>HYPERLINK("https://parts-sales.ru/parts/MAN/51981816011","Штекерный разъем Стопорный клапан")</f>
        <v>Штекерный разъем Стопорный клапан</v>
      </c>
      <c r="C1792" s="3" t="s">
        <v>17</v>
      </c>
      <c r="D1792" s="4">
        <v>3492</v>
      </c>
      <c r="E1792" s="4">
        <v>897</v>
      </c>
      <c r="F1792" s="8">
        <v>0.74</v>
      </c>
      <c r="H1792" s="11"/>
      <c r="I1792" s="11"/>
      <c r="J1792" s="11"/>
    </row>
    <row r="1793" spans="1:10" ht="15.75" x14ac:dyDescent="0.3">
      <c r="A1793" s="13" t="str">
        <f>HYPERLINK("https://parts-sales.ru/parts/MAN/51981820034","51.98182-0034")</f>
        <v>51.98182-0034</v>
      </c>
      <c r="B1793" s="13" t="str">
        <f>HYPERLINK("https://parts-sales.ru/parts/MAN/51981820034","Вставная труба Труба охлажд. воды")</f>
        <v>Вставная труба Труба охлажд. воды</v>
      </c>
      <c r="C1793" s="5" t="s">
        <v>17</v>
      </c>
      <c r="D1793" s="6">
        <v>20209.2</v>
      </c>
      <c r="E1793" s="6">
        <v>4911</v>
      </c>
      <c r="F1793" s="9">
        <v>0.76</v>
      </c>
      <c r="H1793" s="11"/>
      <c r="I1793" s="11"/>
      <c r="J1793" s="11"/>
    </row>
    <row r="1794" spans="1:10" ht="15.75" x14ac:dyDescent="0.3">
      <c r="A1794" s="12" t="str">
        <f>HYPERLINK("https://parts-sales.ru/parts/MAN/51987010065","51.98701-0065")</f>
        <v>51.98701-0065</v>
      </c>
      <c r="B1794" s="12" t="str">
        <f>HYPERLINK("https://parts-sales.ru/parts/MAN/51987010065","Уплотнительное кольцо 9,5X20X1-CU")</f>
        <v>Уплотнительное кольцо 9,5X20X1-CU</v>
      </c>
      <c r="C1794" s="3" t="s">
        <v>17</v>
      </c>
      <c r="D1794" s="4">
        <v>824.4</v>
      </c>
      <c r="E1794" s="4">
        <v>291</v>
      </c>
      <c r="F1794" s="8">
        <v>0.65</v>
      </c>
      <c r="H1794" s="11"/>
      <c r="I1794" s="11"/>
      <c r="J1794" s="11"/>
    </row>
    <row r="1795" spans="1:10" ht="15.75" x14ac:dyDescent="0.3">
      <c r="A1795" s="13" t="str">
        <f>HYPERLINK("https://parts-sales.ru/parts/MAN/51987010075","51.98701-0075")</f>
        <v>51.98701-0075</v>
      </c>
      <c r="B1795" s="13" t="str">
        <f>HYPERLINK("https://parts-sales.ru/parts/MAN/51987010075","Уплотнительное кольцо 9,5X20X0,5-CU")</f>
        <v>Уплотнительное кольцо 9,5X20X0,5-CU</v>
      </c>
      <c r="C1795" s="5" t="s">
        <v>17</v>
      </c>
      <c r="D1795" s="6">
        <v>510</v>
      </c>
      <c r="E1795" s="6">
        <v>109</v>
      </c>
      <c r="F1795" s="9">
        <v>0.79</v>
      </c>
      <c r="H1795" s="11"/>
      <c r="I1795" s="11"/>
      <c r="J1795" s="11"/>
    </row>
    <row r="1796" spans="1:10" ht="15.75" x14ac:dyDescent="0.3">
      <c r="A1796" s="12" t="str">
        <f>HYPERLINK("https://parts-sales.ru/parts/MAN/51987010076","51.98701-0076")</f>
        <v>51.98701-0076</v>
      </c>
      <c r="B1796" s="12" t="str">
        <f>HYPERLINK("https://parts-sales.ru/parts/MAN/51987010076","Уплотнительное кольцо 9,5X20X1,5-CU")</f>
        <v>Уплотнительное кольцо 9,5X20X1,5-CU</v>
      </c>
      <c r="C1796" s="3" t="s">
        <v>17</v>
      </c>
      <c r="D1796" s="4">
        <v>1628.4</v>
      </c>
      <c r="E1796" s="4">
        <v>328</v>
      </c>
      <c r="F1796" s="8">
        <v>0.8</v>
      </c>
      <c r="H1796" s="11"/>
      <c r="I1796" s="11"/>
      <c r="J1796" s="11"/>
    </row>
    <row r="1797" spans="1:10" ht="15.75" x14ac:dyDescent="0.3">
      <c r="A1797" s="13" t="str">
        <f>HYPERLINK("https://parts-sales.ru/parts/MAN/51987010129","51.98701-0129")</f>
        <v>51.98701-0129</v>
      </c>
      <c r="B1797" s="13" t="str">
        <f>HYPERLINK("https://parts-sales.ru/parts/MAN/51987010129","Уплотнительное кольцо 2 MM")</f>
        <v>Уплотнительное кольцо 2 MM</v>
      </c>
      <c r="C1797" s="5" t="s">
        <v>17</v>
      </c>
      <c r="D1797" s="6">
        <v>6718.8</v>
      </c>
      <c r="E1797" s="6">
        <v>1412</v>
      </c>
      <c r="F1797" s="9">
        <v>0.79</v>
      </c>
      <c r="H1797" s="11"/>
      <c r="I1797" s="11"/>
      <c r="J1797" s="11"/>
    </row>
    <row r="1798" spans="1:10" ht="15.75" x14ac:dyDescent="0.3">
      <c r="A1798" s="12" t="str">
        <f>HYPERLINK("https://parts-sales.ru/parts/MAN/51987010134","51.98701-0134")</f>
        <v>51.98701-0134</v>
      </c>
      <c r="B1798" s="12" t="str">
        <f>HYPERLINK("https://parts-sales.ru/parts/MAN/51987010134","Уплотнительное кольцо")</f>
        <v>Уплотнительное кольцо</v>
      </c>
      <c r="C1798" s="3" t="s">
        <v>17</v>
      </c>
      <c r="D1798" s="4">
        <v>338.4</v>
      </c>
      <c r="E1798" s="4">
        <v>98</v>
      </c>
      <c r="F1798" s="8">
        <v>0.71</v>
      </c>
      <c r="H1798" s="11"/>
      <c r="I1798" s="11"/>
      <c r="J1798" s="11"/>
    </row>
    <row r="1799" spans="1:10" ht="15.75" x14ac:dyDescent="0.3">
      <c r="A1799" s="13" t="str">
        <f>HYPERLINK("https://parts-sales.ru/parts/MAN/51996030003","51.99603-0003")</f>
        <v>51.99603-0003</v>
      </c>
      <c r="B1799" s="13" t="str">
        <f>HYPERLINK("https://parts-sales.ru/parts/MAN/51996030003","Монтажный инструмент")</f>
        <v>Монтажный инструмент</v>
      </c>
      <c r="C1799" s="5" t="s">
        <v>17</v>
      </c>
      <c r="D1799" s="6">
        <v>790.8</v>
      </c>
      <c r="E1799" s="6">
        <v>132</v>
      </c>
      <c r="F1799" s="9">
        <v>0.83</v>
      </c>
      <c r="H1799" s="11"/>
      <c r="I1799" s="11"/>
      <c r="J1799" s="11"/>
    </row>
    <row r="1800" spans="1:10" ht="15.75" x14ac:dyDescent="0.3">
      <c r="A1800" s="12" t="str">
        <f>HYPERLINK("https://parts-sales.ru/parts/MAN/64611505001","64.61150-5001")</f>
        <v>64.61150-5001</v>
      </c>
      <c r="B1800" s="12" t="str">
        <f>HYPERLINK("https://parts-sales.ru/parts/MAN/64611505001","Предохр. решетка радиатора")</f>
        <v>Предохр. решетка радиатора</v>
      </c>
      <c r="C1800" s="3" t="s">
        <v>15</v>
      </c>
      <c r="D1800" s="4">
        <v>21862.799999999999</v>
      </c>
      <c r="E1800" s="4">
        <v>5221</v>
      </c>
      <c r="F1800" s="8">
        <v>0.76</v>
      </c>
      <c r="H1800" s="11"/>
      <c r="I1800" s="11"/>
      <c r="J1800" s="11"/>
    </row>
    <row r="1801" spans="1:10" ht="15.75" x14ac:dyDescent="0.3">
      <c r="A1801" s="13" t="str">
        <f>HYPERLINK("https://parts-sales.ru/parts/MAN/64619900009","64.61990-0009")</f>
        <v>64.61990-0009</v>
      </c>
      <c r="B1801" s="13" t="str">
        <f>HYPERLINK("https://parts-sales.ru/parts/MAN/64619900009","Секция для символа")</f>
        <v>Секция для символа</v>
      </c>
      <c r="C1801" s="5" t="s">
        <v>15</v>
      </c>
      <c r="D1801" s="6">
        <v>324</v>
      </c>
      <c r="E1801" s="6">
        <v>68</v>
      </c>
      <c r="F1801" s="9">
        <v>0.79</v>
      </c>
      <c r="H1801" s="11"/>
      <c r="I1801" s="11"/>
      <c r="J1801" s="11"/>
    </row>
    <row r="1802" spans="1:10" ht="15.75" x14ac:dyDescent="0.3">
      <c r="A1802" s="12" t="str">
        <f>HYPERLINK("https://parts-sales.ru/parts/MAN/64626806004","64.62680-6004")</f>
        <v>64.62680-6004</v>
      </c>
      <c r="B1802" s="12" t="str">
        <f>HYPERLINK("https://parts-sales.ru/parts/MAN/64626806004","Замок")</f>
        <v>Замок</v>
      </c>
      <c r="C1802" s="3" t="s">
        <v>15</v>
      </c>
      <c r="D1802" s="4">
        <v>10882.8</v>
      </c>
      <c r="E1802" s="4">
        <v>389</v>
      </c>
      <c r="F1802" s="8">
        <v>0.96</v>
      </c>
      <c r="H1802" s="11"/>
      <c r="I1802" s="11"/>
      <c r="J1802" s="11"/>
    </row>
    <row r="1803" spans="1:10" ht="15.75" x14ac:dyDescent="0.3">
      <c r="A1803" s="13" t="str">
        <f>HYPERLINK("https://parts-sales.ru/parts/MAN/64637016001","64.63701-6001")</f>
        <v>64.63701-6001</v>
      </c>
      <c r="B1803" s="13" t="str">
        <f>HYPERLINK("https://parts-sales.ru/parts/MAN/64637016001","Солнцезащитный козырек")</f>
        <v>Солнцезащитный козырек</v>
      </c>
      <c r="C1803" s="5" t="s">
        <v>15</v>
      </c>
      <c r="D1803" s="6">
        <v>7045.2</v>
      </c>
      <c r="E1803" s="6">
        <v>1565</v>
      </c>
      <c r="F1803" s="9">
        <v>0.78</v>
      </c>
      <c r="H1803" s="11"/>
      <c r="I1803" s="11"/>
      <c r="J1803" s="11"/>
    </row>
    <row r="1804" spans="1:10" ht="15.75" x14ac:dyDescent="0.3">
      <c r="A1804" s="12" t="str">
        <f>HYPERLINK("https://parts-sales.ru/parts/MAN/64637016002","64.63701-6002")</f>
        <v>64.63701-6002</v>
      </c>
      <c r="B1804" s="12" t="str">
        <f>HYPERLINK("https://parts-sales.ru/parts/MAN/64637016002","Солнцезащитный козырек")</f>
        <v>Солнцезащитный козырек</v>
      </c>
      <c r="C1804" s="3" t="s">
        <v>15</v>
      </c>
      <c r="D1804" s="4">
        <v>4418.3999999999996</v>
      </c>
      <c r="E1804" s="4">
        <v>998</v>
      </c>
      <c r="F1804" s="8">
        <v>0.77</v>
      </c>
      <c r="H1804" s="11"/>
      <c r="I1804" s="11"/>
      <c r="J1804" s="11"/>
    </row>
    <row r="1805" spans="1:10" ht="15.75" x14ac:dyDescent="0.3">
      <c r="A1805" s="13" t="str">
        <f>HYPERLINK("https://parts-sales.ru/parts/MAN/64637016003","64.63701-6003")</f>
        <v>64.63701-6003</v>
      </c>
      <c r="B1805" s="13" t="str">
        <f>HYPERLINK("https://parts-sales.ru/parts/MAN/64637016003","Солнцезащитный козырек")</f>
        <v>Солнцезащитный козырек</v>
      </c>
      <c r="C1805" s="5" t="s">
        <v>15</v>
      </c>
      <c r="D1805" s="6">
        <v>4644</v>
      </c>
      <c r="E1805" s="6">
        <v>1061</v>
      </c>
      <c r="F1805" s="9">
        <v>0.77</v>
      </c>
      <c r="H1805" s="11"/>
      <c r="I1805" s="11"/>
      <c r="J1805" s="11"/>
    </row>
    <row r="1806" spans="1:10" ht="15.75" x14ac:dyDescent="0.3">
      <c r="A1806" s="12" t="str">
        <f>HYPERLINK("https://parts-sales.ru/parts/MAN/64637100001","64.63710-0001")</f>
        <v>64.63710-0001</v>
      </c>
      <c r="B1806" s="12" t="str">
        <f>HYPERLINK("https://parts-sales.ru/parts/MAN/64637100001","Вешалка для одежды")</f>
        <v>Вешалка для одежды</v>
      </c>
      <c r="C1806" s="3" t="s">
        <v>15</v>
      </c>
      <c r="D1806" s="4">
        <v>459.6</v>
      </c>
      <c r="E1806" s="4">
        <v>112</v>
      </c>
      <c r="F1806" s="8">
        <v>0.76</v>
      </c>
      <c r="H1806" s="11"/>
      <c r="I1806" s="11"/>
      <c r="J1806" s="11"/>
    </row>
    <row r="1807" spans="1:10" ht="15.75" x14ac:dyDescent="0.3">
      <c r="A1807" s="13" t="str">
        <f>HYPERLINK("https://parts-sales.ru/parts/MAN/64637100007","64.63710-0007")</f>
        <v>64.63710-0007</v>
      </c>
      <c r="B1807" s="13" t="str">
        <f>HYPERLINK("https://parts-sales.ru/parts/MAN/64637100007","Колпачок")</f>
        <v>Колпачок</v>
      </c>
      <c r="C1807" s="5" t="s">
        <v>15</v>
      </c>
      <c r="D1807" s="6">
        <v>1654.8</v>
      </c>
      <c r="E1807" s="6">
        <v>485</v>
      </c>
      <c r="F1807" s="9">
        <v>0.71</v>
      </c>
      <c r="H1807" s="11"/>
      <c r="I1807" s="11"/>
      <c r="J1807" s="11"/>
    </row>
    <row r="1808" spans="1:10" ht="15.75" x14ac:dyDescent="0.3">
      <c r="A1808" s="12" t="str">
        <f>HYPERLINK("https://parts-sales.ru/parts/MAN/64639030005","64.63903-0005")</f>
        <v>64.63903-0005</v>
      </c>
      <c r="B1808" s="12" t="str">
        <f>HYPERLINK("https://parts-sales.ru/parts/MAN/64639030005","Место хранения")</f>
        <v>Место хранения</v>
      </c>
      <c r="C1808" s="3" t="s">
        <v>15</v>
      </c>
      <c r="D1808" s="4">
        <v>9904.7999999999993</v>
      </c>
      <c r="E1808" s="4">
        <v>2365</v>
      </c>
      <c r="F1808" s="8">
        <v>0.76</v>
      </c>
      <c r="H1808" s="11"/>
      <c r="I1808" s="11"/>
      <c r="J1808" s="11"/>
    </row>
    <row r="1809" spans="1:10" ht="15.75" x14ac:dyDescent="0.3">
      <c r="A1809" s="13" t="str">
        <f>HYPERLINK("https://parts-sales.ru/parts/MAN/64669120001","64.66912-0001")</f>
        <v>64.66912-0001</v>
      </c>
      <c r="B1809" s="13" t="str">
        <f>HYPERLINK("https://parts-sales.ru/parts/MAN/64669120001","Ящик для хранения Середина")</f>
        <v>Ящик для хранения Середина</v>
      </c>
      <c r="C1809" s="5" t="s">
        <v>15</v>
      </c>
      <c r="D1809" s="6">
        <v>6589.2</v>
      </c>
      <c r="E1809" s="6">
        <v>1570</v>
      </c>
      <c r="F1809" s="9">
        <v>0.76</v>
      </c>
      <c r="H1809" s="11"/>
      <c r="I1809" s="11"/>
      <c r="J1809" s="11"/>
    </row>
    <row r="1810" spans="1:10" ht="15.75" x14ac:dyDescent="0.3">
      <c r="A1810" s="12" t="str">
        <f>HYPERLINK("https://parts-sales.ru/parts/MAN/64900200420","64.90020-0420")</f>
        <v>64.90020-0420</v>
      </c>
      <c r="B1810" s="12" t="str">
        <f>HYPERLINK("https://parts-sales.ru/parts/MAN/64900200420","Винт с 6-гранной головкой M18X1,5X120-10")</f>
        <v>Винт с 6-гранной головкой M18X1,5X120-10</v>
      </c>
      <c r="C1810" s="3" t="s">
        <v>6</v>
      </c>
      <c r="D1810" s="4">
        <v>746.4</v>
      </c>
      <c r="E1810" s="4">
        <v>171</v>
      </c>
      <c r="F1810" s="8">
        <v>0.77</v>
      </c>
      <c r="H1810" s="11"/>
      <c r="I1810" s="11"/>
      <c r="J1810" s="11"/>
    </row>
    <row r="1811" spans="1:10" ht="15.75" x14ac:dyDescent="0.3">
      <c r="A1811" s="13" t="str">
        <f>HYPERLINK("https://parts-sales.ru/parts/MAN/64963010049","64.96301-0049")</f>
        <v>64.96301-0049</v>
      </c>
      <c r="B1811" s="13" t="str">
        <f>HYPERLINK("https://parts-sales.ru/parts/MAN/64963010049","Гофрированный шланг 600mm")</f>
        <v>Гофрированный шланг 600mm</v>
      </c>
      <c r="C1811" s="5" t="s">
        <v>14</v>
      </c>
      <c r="D1811" s="6">
        <v>198</v>
      </c>
      <c r="E1811" s="6">
        <v>41</v>
      </c>
      <c r="F1811" s="9">
        <v>0.79</v>
      </c>
      <c r="H1811" s="11"/>
      <c r="I1811" s="11"/>
      <c r="J1811" s="11"/>
    </row>
    <row r="1812" spans="1:10" ht="15.75" x14ac:dyDescent="0.3">
      <c r="A1812" s="12" t="str">
        <f>HYPERLINK("https://parts-sales.ru/parts/MAN/65626810000","65.62681-0000")</f>
        <v>65.62681-0000</v>
      </c>
      <c r="B1812" s="12" t="str">
        <f>HYPERLINK("https://parts-sales.ru/parts/MAN/65626810000","Кожух")</f>
        <v>Кожух</v>
      </c>
      <c r="C1812" s="3" t="s">
        <v>15</v>
      </c>
      <c r="D1812" s="4">
        <v>2043.6</v>
      </c>
      <c r="E1812" s="4">
        <v>370</v>
      </c>
      <c r="F1812" s="8">
        <v>0.82</v>
      </c>
      <c r="H1812" s="11"/>
      <c r="I1812" s="11"/>
      <c r="J1812" s="11"/>
    </row>
    <row r="1813" spans="1:10" ht="15.75" x14ac:dyDescent="0.3">
      <c r="A1813" s="13" t="str">
        <f>HYPERLINK("https://parts-sales.ru/parts/MAN/65626810002","65.62681-0002")</f>
        <v>65.62681-0002</v>
      </c>
      <c r="B1813" s="13" t="str">
        <f>HYPERLINK("https://parts-sales.ru/parts/MAN/65626810002","Кожух")</f>
        <v>Кожух</v>
      </c>
      <c r="C1813" s="5" t="s">
        <v>15</v>
      </c>
      <c r="D1813" s="6">
        <v>2043.6</v>
      </c>
      <c r="E1813" s="6">
        <v>370</v>
      </c>
      <c r="F1813" s="9">
        <v>0.82</v>
      </c>
      <c r="H1813" s="11"/>
      <c r="I1813" s="11"/>
      <c r="J1813" s="11"/>
    </row>
    <row r="1814" spans="1:10" ht="15.75" x14ac:dyDescent="0.3">
      <c r="A1814" s="12" t="str">
        <f>HYPERLINK("https://parts-sales.ru/parts/MAN/A0036865189","A0.03686-5189")</f>
        <v>A0.03686-5189</v>
      </c>
      <c r="B1814" s="12" t="str">
        <f>HYPERLINK("https://parts-sales.ru/parts/MAN/A0036865189","Уплотнительный профиль двери 4270")</f>
        <v>Уплотнительный профиль двери 4270</v>
      </c>
      <c r="C1814" s="3" t="s">
        <v>15</v>
      </c>
      <c r="D1814" s="4">
        <v>13022.4</v>
      </c>
      <c r="E1814" s="4">
        <v>1440</v>
      </c>
      <c r="F1814" s="8">
        <v>0.89</v>
      </c>
      <c r="H1814" s="11"/>
      <c r="I1814" s="11"/>
      <c r="J1814" s="11"/>
    </row>
    <row r="1815" spans="1:10" ht="15.75" x14ac:dyDescent="0.3">
      <c r="A1815" s="13" t="str">
        <f>HYPERLINK("https://parts-sales.ru/parts/MAN/81055046001","81.05504-6001")</f>
        <v>81.05504-6001</v>
      </c>
      <c r="B1815" s="13" t="str">
        <f>HYPERLINK("https://parts-sales.ru/parts/MAN/81055046001","Элемент масляного фильра")</f>
        <v>Элемент масляного фильра</v>
      </c>
      <c r="C1815" s="5" t="s">
        <v>12</v>
      </c>
      <c r="D1815" s="6">
        <v>3529.2</v>
      </c>
      <c r="E1815" s="6">
        <v>920</v>
      </c>
      <c r="F1815" s="9">
        <v>0.74</v>
      </c>
      <c r="H1815" s="11"/>
      <c r="I1815" s="11"/>
      <c r="J1815" s="11"/>
    </row>
    <row r="1816" spans="1:10" ht="15.75" x14ac:dyDescent="0.3">
      <c r="A1816" s="12" t="str">
        <f>HYPERLINK("https://parts-sales.ru/parts/MAN/83084050000","83.08405-0000")</f>
        <v>83.08405-0000</v>
      </c>
      <c r="B1816" s="12" t="str">
        <f>HYPERLINK("https://parts-sales.ru/parts/MAN/83084050000","Элемент воздушного фильтра")</f>
        <v>Элемент воздушного фильтра</v>
      </c>
      <c r="C1816" s="3" t="s">
        <v>18</v>
      </c>
      <c r="D1816" s="4">
        <v>31245.599999999999</v>
      </c>
      <c r="E1816" s="4">
        <v>6748</v>
      </c>
      <c r="F1816" s="8">
        <v>0.78</v>
      </c>
      <c r="H1816" s="11"/>
      <c r="I1816" s="11"/>
      <c r="J1816" s="11"/>
    </row>
    <row r="1817" spans="1:10" ht="15.75" x14ac:dyDescent="0.3">
      <c r="A1817" s="13" t="str">
        <f>HYPERLINK("https://parts-sales.ru/parts/MAN/81091006006","81.09100-6006")</f>
        <v>81.09100-6006</v>
      </c>
      <c r="B1817" s="13" t="str">
        <f>HYPERLINK("https://parts-sales.ru/parts/MAN/81091006006","Монт. компл., турбонагнетатель")</f>
        <v>Монт. компл., турбонагнетатель</v>
      </c>
      <c r="C1817" s="5" t="s">
        <v>12</v>
      </c>
      <c r="D1817" s="6">
        <v>14247.6</v>
      </c>
      <c r="E1817" s="6">
        <v>2901</v>
      </c>
      <c r="F1817" s="9">
        <v>0.8</v>
      </c>
      <c r="H1817" s="11"/>
      <c r="I1817" s="11"/>
      <c r="J1817" s="11"/>
    </row>
    <row r="1818" spans="1:10" ht="15.75" x14ac:dyDescent="0.3">
      <c r="A1818" s="12" t="str">
        <f>HYPERLINK("https://parts-sales.ru/parts/MAN/81111016151","81.11101-6151")</f>
        <v>81.11101-6151</v>
      </c>
      <c r="B1818" s="12" t="str">
        <f>HYPERLINK("https://parts-sales.ru/parts/MAN/81111016151","Комплект деталей Пригодный для рапсового")</f>
        <v>Комплект деталей Пригодный для рапсового</v>
      </c>
      <c r="C1818" s="3" t="s">
        <v>12</v>
      </c>
      <c r="D1818" s="4">
        <v>3550.8</v>
      </c>
      <c r="E1818" s="4">
        <v>921</v>
      </c>
      <c r="F1818" s="8">
        <v>0.74</v>
      </c>
      <c r="H1818" s="11"/>
      <c r="I1818" s="11"/>
      <c r="J1818" s="11"/>
    </row>
    <row r="1819" spans="1:10" ht="15.75" x14ac:dyDescent="0.3">
      <c r="A1819" s="13" t="str">
        <f>HYPERLINK("https://parts-sales.ru/parts/MAN/80996016022","80.99601-6022")</f>
        <v>80.99601-6022</v>
      </c>
      <c r="B1819" s="13" t="str">
        <f>HYPERLINK("https://parts-sales.ru/parts/MAN/80996016022","Съемник")</f>
        <v>Съемник</v>
      </c>
      <c r="C1819" s="5" t="s">
        <v>11</v>
      </c>
      <c r="D1819" s="6">
        <v>98955.6</v>
      </c>
      <c r="E1819" s="6">
        <v>31049</v>
      </c>
      <c r="F1819" s="9">
        <v>0.69</v>
      </c>
      <c r="H1819" s="11"/>
      <c r="I1819" s="11"/>
      <c r="J1819" s="11"/>
    </row>
    <row r="1820" spans="1:10" ht="15.75" x14ac:dyDescent="0.3">
      <c r="A1820" s="12" t="str">
        <f>HYPERLINK("https://parts-sales.ru/parts/MAN/80996016058","80.99601-6058")</f>
        <v>80.99601-6058</v>
      </c>
      <c r="B1820" s="12" t="str">
        <f>HYPERLINK("https://parts-sales.ru/parts/MAN/80996016058","Съемник")</f>
        <v>Съемник</v>
      </c>
      <c r="C1820" s="3" t="s">
        <v>11</v>
      </c>
      <c r="D1820" s="4">
        <v>59468.4</v>
      </c>
      <c r="E1820" s="4">
        <v>16766</v>
      </c>
      <c r="F1820" s="8">
        <v>0.72</v>
      </c>
      <c r="H1820" s="11"/>
      <c r="I1820" s="11"/>
      <c r="J1820" s="11"/>
    </row>
    <row r="1821" spans="1:10" ht="15.75" x14ac:dyDescent="0.3">
      <c r="A1821" s="13" t="str">
        <f>HYPERLINK("https://parts-sales.ru/parts/MAN/80996030325","80.99603-0325")</f>
        <v>80.99603-0325</v>
      </c>
      <c r="B1821" s="13" t="s">
        <v>50</v>
      </c>
      <c r="C1821" s="5" t="s">
        <v>11</v>
      </c>
      <c r="D1821" s="6">
        <v>7992</v>
      </c>
      <c r="E1821" s="6">
        <v>2493</v>
      </c>
      <c r="F1821" s="9">
        <v>0.69</v>
      </c>
      <c r="H1821" s="11"/>
      <c r="I1821" s="11"/>
      <c r="J1821" s="11"/>
    </row>
    <row r="1822" spans="1:10" ht="15.75" x14ac:dyDescent="0.3">
      <c r="A1822" s="12" t="str">
        <f>HYPERLINK("https://parts-sales.ru/parts/MAN/80996030365","80.99603-0365")</f>
        <v>80.99603-0365</v>
      </c>
      <c r="B1822" s="12" t="str">
        <f>HYPERLINK("https://parts-sales.ru/parts/MAN/80996030365","Ключ для шлицевых гаек")</f>
        <v>Ключ для шлицевых гаек</v>
      </c>
      <c r="C1822" s="3" t="s">
        <v>11</v>
      </c>
      <c r="D1822" s="4">
        <v>103714.8</v>
      </c>
      <c r="E1822" s="4">
        <v>28755</v>
      </c>
      <c r="F1822" s="8">
        <v>0.72</v>
      </c>
      <c r="H1822" s="11"/>
      <c r="I1822" s="11"/>
      <c r="J1822" s="11"/>
    </row>
    <row r="1823" spans="1:10" ht="15.75" x14ac:dyDescent="0.3">
      <c r="A1823" s="13" t="str">
        <f>HYPERLINK("https://parts-sales.ru/parts/MAN/80996030421","80.99603-0421")</f>
        <v>80.99603-0421</v>
      </c>
      <c r="B1823" s="13" t="s">
        <v>51</v>
      </c>
      <c r="C1823" s="5" t="s">
        <v>11</v>
      </c>
      <c r="D1823" s="6">
        <v>13628.4</v>
      </c>
      <c r="E1823" s="6">
        <v>4693</v>
      </c>
      <c r="F1823" s="9">
        <v>0.66</v>
      </c>
      <c r="H1823" s="11"/>
      <c r="I1823" s="11"/>
      <c r="J1823" s="11"/>
    </row>
    <row r="1824" spans="1:10" ht="15.75" x14ac:dyDescent="0.3">
      <c r="A1824" s="12" t="str">
        <f>HYPERLINK("https://parts-sales.ru/parts/MAN/80996040282","80.99604-0282")</f>
        <v>80.99604-0282</v>
      </c>
      <c r="B1824" s="12" t="str">
        <f>HYPERLINK("https://parts-sales.ru/parts/MAN/80996040282","Запрессовочный пробойник")</f>
        <v>Запрессовочный пробойник</v>
      </c>
      <c r="C1824" s="3" t="s">
        <v>11</v>
      </c>
      <c r="D1824" s="4">
        <v>49954.8</v>
      </c>
      <c r="E1824" s="4">
        <v>14151</v>
      </c>
      <c r="F1824" s="8">
        <v>0.72</v>
      </c>
      <c r="H1824" s="11"/>
      <c r="I1824" s="11"/>
      <c r="J1824" s="11"/>
    </row>
    <row r="1825" spans="1:10" ht="15.75" x14ac:dyDescent="0.3">
      <c r="A1825" s="13" t="str">
        <f>HYPERLINK("https://parts-sales.ru/parts/MAN/80996066136","80.99606-6136")</f>
        <v>80.99606-6136</v>
      </c>
      <c r="B1825" s="13" t="str">
        <f>HYPERLINK("https://parts-sales.ru/parts/MAN/80996066136","Регулировочный инструмент")</f>
        <v>Регулировочный инструмент</v>
      </c>
      <c r="C1825" s="5" t="s">
        <v>11</v>
      </c>
      <c r="D1825" s="6">
        <v>16603.2</v>
      </c>
      <c r="E1825" s="6">
        <v>6614</v>
      </c>
      <c r="F1825" s="9">
        <v>0.6</v>
      </c>
      <c r="H1825" s="11"/>
      <c r="I1825" s="11"/>
      <c r="J1825" s="11"/>
    </row>
    <row r="1826" spans="1:10" ht="15.75" x14ac:dyDescent="0.3">
      <c r="A1826" s="12" t="str">
        <f>HYPERLINK("https://parts-sales.ru/parts/MAN/80996090038","80.99609-0038")</f>
        <v>80.99609-0038</v>
      </c>
      <c r="B1826" s="12" t="str">
        <f>HYPERLINK("https://parts-sales.ru/parts/MAN/80996090038","Прижимная плата")</f>
        <v>Прижимная плата</v>
      </c>
      <c r="C1826" s="3" t="s">
        <v>11</v>
      </c>
      <c r="D1826" s="4">
        <v>11083.2</v>
      </c>
      <c r="E1826" s="4">
        <v>3099</v>
      </c>
      <c r="F1826" s="8">
        <v>0.72</v>
      </c>
      <c r="H1826" s="11"/>
      <c r="I1826" s="11"/>
      <c r="J1826" s="11"/>
    </row>
    <row r="1827" spans="1:10" ht="15.75" x14ac:dyDescent="0.3">
      <c r="A1827" s="13" t="str">
        <f>HYPERLINK("https://parts-sales.ru/parts/MAN/80996170020","80.99617-0020")</f>
        <v>80.99617-0020</v>
      </c>
      <c r="B1827" s="13" t="str">
        <f>HYPERLINK("https://parts-sales.ru/parts/MAN/80996170020","Центрирующая оправка")</f>
        <v>Центрирующая оправка</v>
      </c>
      <c r="C1827" s="5" t="s">
        <v>11</v>
      </c>
      <c r="D1827" s="6">
        <v>18268.8</v>
      </c>
      <c r="E1827" s="6">
        <v>5320</v>
      </c>
      <c r="F1827" s="9">
        <v>0.71</v>
      </c>
      <c r="H1827" s="11"/>
      <c r="I1827" s="11"/>
      <c r="J1827" s="11"/>
    </row>
    <row r="1828" spans="1:10" ht="15.75" x14ac:dyDescent="0.3">
      <c r="A1828" s="12" t="str">
        <f>HYPERLINK("https://parts-sales.ru/parts/MAN/80996170144","80.99617-0144")</f>
        <v>80.99617-0144</v>
      </c>
      <c r="B1828" s="12" t="str">
        <f>HYPERLINK("https://parts-sales.ru/parts/MAN/80996170144","Шайба 6X50 MM")</f>
        <v>Шайба 6X50 MM</v>
      </c>
      <c r="C1828" s="3" t="s">
        <v>11</v>
      </c>
      <c r="D1828" s="4">
        <v>5973.6</v>
      </c>
      <c r="E1828" s="4">
        <v>1874</v>
      </c>
      <c r="F1828" s="8">
        <v>0.69</v>
      </c>
      <c r="H1828" s="11"/>
      <c r="I1828" s="11"/>
      <c r="J1828" s="11"/>
    </row>
    <row r="1829" spans="1:10" ht="15.75" x14ac:dyDescent="0.3">
      <c r="A1829" s="13" t="str">
        <f>HYPERLINK("https://parts-sales.ru/parts/MAN/80996170187","80.99617-0187")</f>
        <v>80.99617-0187</v>
      </c>
      <c r="B1829" s="13" t="str">
        <f>HYPERLINK("https://parts-sales.ru/parts/MAN/80996170187","Насадная рукоятка 35X200 MM")</f>
        <v>Насадная рукоятка 35X200 MM</v>
      </c>
      <c r="C1829" s="5" t="s">
        <v>11</v>
      </c>
      <c r="D1829" s="6">
        <v>29306.400000000001</v>
      </c>
      <c r="E1829" s="6">
        <v>8235</v>
      </c>
      <c r="F1829" s="9">
        <v>0.72</v>
      </c>
      <c r="H1829" s="11"/>
      <c r="I1829" s="11"/>
      <c r="J1829" s="11"/>
    </row>
    <row r="1830" spans="1:10" ht="15.75" x14ac:dyDescent="0.3">
      <c r="A1830" s="12" t="str">
        <f>HYPERLINK("https://parts-sales.ru/parts/MAN/80996170188","80.99617-0188")</f>
        <v>80.99617-0188</v>
      </c>
      <c r="B1830" s="12" t="str">
        <f>HYPERLINK("https://parts-sales.ru/parts/MAN/80996170188","Насадная рукоятка 35X300 MM")</f>
        <v>Насадная рукоятка 35X300 MM</v>
      </c>
      <c r="C1830" s="3" t="s">
        <v>11</v>
      </c>
      <c r="D1830" s="4">
        <v>29116.799999999999</v>
      </c>
      <c r="E1830" s="4">
        <v>9370</v>
      </c>
      <c r="F1830" s="8">
        <v>0.68</v>
      </c>
      <c r="H1830" s="11"/>
      <c r="I1830" s="11"/>
      <c r="J1830" s="11"/>
    </row>
    <row r="1831" spans="1:10" ht="15.75" x14ac:dyDescent="0.3">
      <c r="A1831" s="13" t="str">
        <f>HYPERLINK("https://parts-sales.ru/parts/MAN/80996170189","80.99617-0189")</f>
        <v>80.99617-0189</v>
      </c>
      <c r="B1831" s="13" t="str">
        <f>HYPERLINK("https://parts-sales.ru/parts/MAN/80996170189","Прижимная шайба 27X55 MM")</f>
        <v>Прижимная шайба 27X55 MM</v>
      </c>
      <c r="C1831" s="5" t="s">
        <v>11</v>
      </c>
      <c r="D1831" s="6">
        <v>25152</v>
      </c>
      <c r="E1831" s="6">
        <v>9814</v>
      </c>
      <c r="F1831" s="9">
        <v>0.61</v>
      </c>
      <c r="H1831" s="11"/>
      <c r="I1831" s="11"/>
      <c r="J1831" s="11"/>
    </row>
    <row r="1832" spans="1:10" ht="15.75" x14ac:dyDescent="0.3">
      <c r="A1832" s="12" t="str">
        <f>HYPERLINK("https://parts-sales.ru/parts/MAN/81005019043","81.00501-9043")</f>
        <v>81.00501-9043</v>
      </c>
      <c r="B1832" s="12" t="str">
        <f>HYPERLINK("https://parts-sales.ru/parts/MAN/81005019043","Блок двигателя в сборе D0836LOH02/03 O E")</f>
        <v>Блок двигателя в сборе D0836LOH02/03 O E</v>
      </c>
      <c r="C1832" s="3" t="s">
        <v>17</v>
      </c>
      <c r="D1832" s="4">
        <v>3189506.4</v>
      </c>
      <c r="E1832" s="4">
        <v>418701</v>
      </c>
      <c r="F1832" s="8">
        <v>0.87</v>
      </c>
      <c r="H1832" s="11"/>
      <c r="I1832" s="11"/>
      <c r="J1832" s="11"/>
    </row>
    <row r="1833" spans="1:10" ht="15.75" x14ac:dyDescent="0.3">
      <c r="A1833" s="13" t="str">
        <f>HYPERLINK("https://parts-sales.ru/parts/MAN/81111026026","81.11102-6026")</f>
        <v>81.11102-6026</v>
      </c>
      <c r="B1833" s="13" t="str">
        <f>HYPERLINK("https://parts-sales.ru/parts/MAN/81111026026","Соед. зажим проводки ADBLUE")</f>
        <v>Соед. зажим проводки ADBLUE</v>
      </c>
      <c r="C1833" s="5" t="s">
        <v>12</v>
      </c>
      <c r="D1833" s="6">
        <v>10322.4</v>
      </c>
      <c r="E1833" s="6">
        <v>2360</v>
      </c>
      <c r="F1833" s="9">
        <v>0.77</v>
      </c>
      <c r="H1833" s="11"/>
      <c r="I1833" s="11"/>
      <c r="J1833" s="11"/>
    </row>
    <row r="1834" spans="1:10" ht="15.75" x14ac:dyDescent="0.3">
      <c r="A1834" s="12" t="str">
        <f>HYPERLINK("https://parts-sales.ru/parts/MAN/81115360015","81.11536-0015")</f>
        <v>81.11536-0015</v>
      </c>
      <c r="B1834" s="12" t="str">
        <f>HYPERLINK("https://parts-sales.ru/parts/MAN/81115360015","Запорная крышка A33/12,5-CUZN")</f>
        <v>Запорная крышка A33/12,5-CUZN</v>
      </c>
      <c r="C1834" s="3" t="s">
        <v>12</v>
      </c>
      <c r="D1834" s="4">
        <v>951.6</v>
      </c>
      <c r="E1834" s="4">
        <v>222</v>
      </c>
      <c r="F1834" s="8">
        <v>0.77</v>
      </c>
      <c r="H1834" s="11"/>
      <c r="I1834" s="11"/>
      <c r="J1834" s="11"/>
    </row>
    <row r="1835" spans="1:10" ht="15.75" x14ac:dyDescent="0.3">
      <c r="A1835" s="13" t="str">
        <f>HYPERLINK("https://parts-sales.ru/parts/MAN/81119040020","81.11904-0020")</f>
        <v>81.11904-0020</v>
      </c>
      <c r="B1835" s="13" t="str">
        <f>HYPERLINK("https://parts-sales.ru/parts/MAN/81119040020","Уплотнение без асбеста")</f>
        <v>Уплотнение без асбеста</v>
      </c>
      <c r="C1835" s="5" t="s">
        <v>12</v>
      </c>
      <c r="D1835" s="6">
        <v>361.2</v>
      </c>
      <c r="E1835" s="6">
        <v>107</v>
      </c>
      <c r="F1835" s="9">
        <v>0.7</v>
      </c>
      <c r="H1835" s="11"/>
      <c r="I1835" s="11"/>
      <c r="J1835" s="11"/>
    </row>
    <row r="1836" spans="1:10" ht="15.75" x14ac:dyDescent="0.3">
      <c r="A1836" s="12" t="str">
        <f>HYPERLINK("https://parts-sales.ru/parts/MAN/85125010003","85.12501-0003")</f>
        <v>85.12501-0003</v>
      </c>
      <c r="B1836" s="12" t="str">
        <f>HYPERLINK("https://parts-sales.ru/parts/MAN/85125010003","Сменный эл. топлив.фильтра")</f>
        <v>Сменный эл. топлив.фильтра</v>
      </c>
      <c r="C1836" s="3" t="s">
        <v>12</v>
      </c>
      <c r="D1836" s="4">
        <v>7888.29</v>
      </c>
      <c r="E1836" s="4">
        <v>1999</v>
      </c>
      <c r="F1836" s="8">
        <v>0.75</v>
      </c>
      <c r="H1836" s="11"/>
      <c r="I1836" s="11"/>
      <c r="J1836" s="11"/>
    </row>
    <row r="1837" spans="1:10" ht="15.75" x14ac:dyDescent="0.3">
      <c r="A1837" s="13" t="str">
        <f>HYPERLINK("https://parts-sales.ru/parts/MAN/82154076004","82.15407-6004")</f>
        <v>82.15407-6004</v>
      </c>
      <c r="B1837" s="13" t="str">
        <f>HYPERLINK("https://parts-sales.ru/parts/MAN/82154076004","Теплопровод Прямой ход")</f>
        <v>Теплопровод Прямой ход</v>
      </c>
      <c r="C1837" s="5" t="s">
        <v>12</v>
      </c>
      <c r="D1837" s="6">
        <v>7190.4</v>
      </c>
      <c r="E1837" s="6">
        <v>1724</v>
      </c>
      <c r="F1837" s="9">
        <v>0.76</v>
      </c>
      <c r="H1837" s="11"/>
      <c r="I1837" s="11"/>
      <c r="J1837" s="11"/>
    </row>
    <row r="1838" spans="1:10" ht="15.75" x14ac:dyDescent="0.3">
      <c r="A1838" s="12" t="str">
        <f>HYPERLINK("https://parts-sales.ru/parts/MAN/82155015291","82.15501-5291")</f>
        <v>82.15501-5291</v>
      </c>
      <c r="B1838" s="12" t="str">
        <f>HYPERLINK("https://parts-sales.ru/parts/MAN/82155015291","Держатель")</f>
        <v>Держатель</v>
      </c>
      <c r="C1838" s="3" t="s">
        <v>12</v>
      </c>
      <c r="D1838" s="4">
        <v>159032.4</v>
      </c>
      <c r="E1838" s="4">
        <v>22049</v>
      </c>
      <c r="F1838" s="8">
        <v>0.86</v>
      </c>
      <c r="H1838" s="11"/>
      <c r="I1838" s="11"/>
      <c r="J1838" s="11"/>
    </row>
    <row r="1839" spans="1:10" ht="15.75" x14ac:dyDescent="0.3">
      <c r="A1839" s="13" t="str">
        <f>HYPERLINK("https://parts-sales.ru/parts/MAN/81061016501","81.06101-6501")</f>
        <v>81.06101-6501</v>
      </c>
      <c r="B1839" s="13" t="str">
        <f>HYPERLINK("https://parts-sales.ru/parts/MAN/81061016501","Водяной радиатор")</f>
        <v>Водяной радиатор</v>
      </c>
      <c r="C1839" s="5" t="s">
        <v>19</v>
      </c>
      <c r="D1839" s="6">
        <v>225613.8</v>
      </c>
      <c r="E1839" s="6">
        <v>40310</v>
      </c>
      <c r="F1839" s="9">
        <v>0.82</v>
      </c>
      <c r="H1839" s="11"/>
      <c r="I1839" s="11"/>
      <c r="J1839" s="11"/>
    </row>
    <row r="1840" spans="1:10" ht="15.75" x14ac:dyDescent="0.3">
      <c r="A1840" s="12" t="str">
        <f>HYPERLINK("https://parts-sales.ru/parts/MAN/81061016806","81.06101-6806")</f>
        <v>81.06101-6806</v>
      </c>
      <c r="B1840" s="12" t="str">
        <f>HYPERLINK("https://parts-sales.ru/parts/MAN/81061016806","Водяной радиатор без")</f>
        <v>Водяной радиатор без</v>
      </c>
      <c r="C1840" s="3" t="s">
        <v>19</v>
      </c>
      <c r="D1840" s="4">
        <v>119134.83</v>
      </c>
      <c r="E1840" s="4">
        <v>71211</v>
      </c>
      <c r="F1840" s="8">
        <v>0.4</v>
      </c>
      <c r="H1840" s="11"/>
      <c r="I1840" s="11"/>
      <c r="J1840" s="11"/>
    </row>
    <row r="1841" spans="1:10" ht="15.75" x14ac:dyDescent="0.3">
      <c r="A1841" s="13" t="str">
        <f>HYPERLINK("https://parts-sales.ru/parts/MAN/81061016815","81.06101-6815")</f>
        <v>81.06101-6815</v>
      </c>
      <c r="B1841" s="13" t="str">
        <f>HYPERLINK("https://parts-sales.ru/parts/MAN/81061016815","Водяной радиатор V2A 52mm")</f>
        <v>Водяной радиатор V2A 52mm</v>
      </c>
      <c r="C1841" s="5" t="s">
        <v>19</v>
      </c>
      <c r="D1841" s="6">
        <v>113171.05</v>
      </c>
      <c r="E1841" s="6">
        <v>74076</v>
      </c>
      <c r="F1841" s="9">
        <v>0.35</v>
      </c>
      <c r="H1841" s="11"/>
      <c r="I1841" s="11"/>
      <c r="J1841" s="11"/>
    </row>
    <row r="1842" spans="1:10" ht="15.75" x14ac:dyDescent="0.3">
      <c r="A1842" s="12" t="str">
        <f>HYPERLINK("https://parts-sales.ru/parts/MAN/81061026232","81.06102-6232")</f>
        <v>81.06102-6232</v>
      </c>
      <c r="B1842" s="12" t="str">
        <f>HYPERLINK("https://parts-sales.ru/parts/MAN/81061026232","Компенсац. бак с охлажд.жидк.")</f>
        <v>Компенсац. бак с охлажд.жидк.</v>
      </c>
      <c r="C1842" s="3" t="s">
        <v>19</v>
      </c>
      <c r="D1842" s="4">
        <v>68805.600000000006</v>
      </c>
      <c r="E1842" s="4">
        <v>15589</v>
      </c>
      <c r="F1842" s="8">
        <v>0.77</v>
      </c>
      <c r="H1842" s="11"/>
      <c r="I1842" s="11"/>
      <c r="J1842" s="11"/>
    </row>
    <row r="1843" spans="1:10" ht="15.75" x14ac:dyDescent="0.3">
      <c r="A1843" s="13" t="str">
        <f>HYPERLINK("https://parts-sales.ru/parts/MAN/81061400225","81.06140-0225")</f>
        <v>81.06140-0225</v>
      </c>
      <c r="B1843" s="13" t="str">
        <f>HYPERLINK("https://parts-sales.ru/parts/MAN/81061400225","Наборная шайба Kunststoff wei#")</f>
        <v>Наборная шайба Kunststoff wei#</v>
      </c>
      <c r="C1843" s="5" t="s">
        <v>19</v>
      </c>
      <c r="D1843" s="6">
        <v>6916.8</v>
      </c>
      <c r="E1843" s="6">
        <v>893</v>
      </c>
      <c r="F1843" s="9">
        <v>0.87</v>
      </c>
      <c r="H1843" s="11"/>
      <c r="I1843" s="11"/>
      <c r="J1843" s="11"/>
    </row>
    <row r="1844" spans="1:10" ht="15.75" x14ac:dyDescent="0.3">
      <c r="A1844" s="12" t="str">
        <f>HYPERLINK("https://parts-sales.ru/parts/MAN/81062010080","81.06201-0080")</f>
        <v>81.06201-0080</v>
      </c>
      <c r="B1844" s="12" t="str">
        <f>HYPERLINK("https://parts-sales.ru/parts/MAN/81062010080","Держатель Защита радиатора")</f>
        <v>Держатель Защита радиатора</v>
      </c>
      <c r="C1844" s="3" t="s">
        <v>19</v>
      </c>
      <c r="D1844" s="4">
        <v>11901.6</v>
      </c>
      <c r="E1844" s="4">
        <v>2653</v>
      </c>
      <c r="F1844" s="8">
        <v>0.78</v>
      </c>
      <c r="H1844" s="11"/>
      <c r="I1844" s="11"/>
      <c r="J1844" s="11"/>
    </row>
    <row r="1845" spans="1:10" ht="15.75" x14ac:dyDescent="0.3">
      <c r="A1845" s="13" t="str">
        <f>HYPERLINK("https://parts-sales.ru/parts/MAN/81062010081","81.06201-0081")</f>
        <v>81.06201-0081</v>
      </c>
      <c r="B1845" s="13" t="str">
        <f>HYPERLINK("https://parts-sales.ru/parts/MAN/81062010081","Держатель Защита радиатора")</f>
        <v>Держатель Защита радиатора</v>
      </c>
      <c r="C1845" s="5" t="s">
        <v>19</v>
      </c>
      <c r="D1845" s="6">
        <v>11901.6</v>
      </c>
      <c r="E1845" s="6">
        <v>2545</v>
      </c>
      <c r="F1845" s="9">
        <v>0.79</v>
      </c>
      <c r="H1845" s="11"/>
      <c r="I1845" s="11"/>
      <c r="J1845" s="11"/>
    </row>
    <row r="1846" spans="1:10" ht="15.75" x14ac:dyDescent="0.3">
      <c r="A1846" s="12" t="str">
        <f>HYPERLINK("https://parts-sales.ru/parts/MAN/81062010150","81.06201-0150")</f>
        <v>81.06201-0150</v>
      </c>
      <c r="B1846" s="12" t="str">
        <f>HYPERLINK("https://parts-sales.ru/parts/MAN/81062010150","Противоударная решетка")</f>
        <v>Противоударная решетка</v>
      </c>
      <c r="C1846" s="3" t="s">
        <v>19</v>
      </c>
      <c r="D1846" s="4">
        <v>16312.8</v>
      </c>
      <c r="E1846" s="4">
        <v>6299</v>
      </c>
      <c r="F1846" s="8">
        <v>0.61</v>
      </c>
      <c r="H1846" s="11"/>
      <c r="I1846" s="11"/>
      <c r="J1846" s="11"/>
    </row>
    <row r="1847" spans="1:10" ht="15.75" x14ac:dyDescent="0.3">
      <c r="A1847" s="13" t="str">
        <f>HYPERLINK("https://parts-sales.ru/parts/MAN/81062010155","81.06201-0155")</f>
        <v>81.06201-0155</v>
      </c>
      <c r="B1847" s="13" t="str">
        <f>HYPERLINK("https://parts-sales.ru/parts/MAN/81062010155","Держатель Защита радиатора")</f>
        <v>Держатель Защита радиатора</v>
      </c>
      <c r="C1847" s="5" t="s">
        <v>19</v>
      </c>
      <c r="D1847" s="6">
        <v>4312.8</v>
      </c>
      <c r="E1847" s="6">
        <v>222</v>
      </c>
      <c r="F1847" s="9">
        <v>0.95</v>
      </c>
      <c r="H1847" s="11"/>
      <c r="I1847" s="11"/>
      <c r="J1847" s="11"/>
    </row>
    <row r="1848" spans="1:10" ht="15.75" x14ac:dyDescent="0.3">
      <c r="A1848" s="12" t="str">
        <f>HYPERLINK("https://parts-sales.ru/parts/MAN/81062010156","81.06201-0156")</f>
        <v>81.06201-0156</v>
      </c>
      <c r="B1848" s="12" t="str">
        <f>HYPERLINK("https://parts-sales.ru/parts/MAN/81062010156","Держатель Защита радиатора")</f>
        <v>Держатель Защита радиатора</v>
      </c>
      <c r="C1848" s="3" t="s">
        <v>19</v>
      </c>
      <c r="D1848" s="4">
        <v>4312.8</v>
      </c>
      <c r="E1848" s="4">
        <v>222</v>
      </c>
      <c r="F1848" s="8">
        <v>0.95</v>
      </c>
      <c r="H1848" s="11"/>
      <c r="I1848" s="11"/>
      <c r="J1848" s="11"/>
    </row>
    <row r="1849" spans="1:10" ht="15.75" x14ac:dyDescent="0.3">
      <c r="A1849" s="13" t="str">
        <f>HYPERLINK("https://parts-sales.ru/parts/MAN/81062250008","81.06225-0008")</f>
        <v>81.06225-0008</v>
      </c>
      <c r="B1849" s="13" t="str">
        <f>HYPERLINK("https://parts-sales.ru/parts/MAN/81062250008","Шаровая головка")</f>
        <v>Шаровая головка</v>
      </c>
      <c r="C1849" s="5" t="s">
        <v>19</v>
      </c>
      <c r="D1849" s="6">
        <v>2128.8000000000002</v>
      </c>
      <c r="E1849" s="6">
        <v>134</v>
      </c>
      <c r="F1849" s="9">
        <v>0.94</v>
      </c>
      <c r="H1849" s="11"/>
      <c r="I1849" s="11"/>
      <c r="J1849" s="11"/>
    </row>
    <row r="1850" spans="1:10" ht="15.75" x14ac:dyDescent="0.3">
      <c r="A1850" s="12" t="str">
        <f>HYPERLINK("https://parts-sales.ru/parts/MAN/81062256011","81.06225-6011")</f>
        <v>81.06225-6011</v>
      </c>
      <c r="B1850" s="12" t="str">
        <f>HYPERLINK("https://parts-sales.ru/parts/MAN/81062256011","Подшипник Радиатор")</f>
        <v>Подшипник Радиатор</v>
      </c>
      <c r="C1850" s="3" t="s">
        <v>19</v>
      </c>
      <c r="D1850" s="4">
        <v>11907.6</v>
      </c>
      <c r="E1850" s="4">
        <v>3255</v>
      </c>
      <c r="F1850" s="8">
        <v>0.73</v>
      </c>
      <c r="H1850" s="11"/>
      <c r="I1850" s="11"/>
      <c r="J1850" s="11"/>
    </row>
    <row r="1851" spans="1:10" ht="15.75" x14ac:dyDescent="0.3">
      <c r="A1851" s="13" t="str">
        <f>HYPERLINK("https://parts-sales.ru/parts/MAN/81063030325","81.06303-0325")</f>
        <v>81.06303-0325</v>
      </c>
      <c r="B1851" s="13" t="str">
        <f>HYPERLINK("https://parts-sales.ru/parts/MAN/81063030325","Труба охлажд. воды")</f>
        <v>Труба охлажд. воды</v>
      </c>
      <c r="C1851" s="5" t="s">
        <v>19</v>
      </c>
      <c r="D1851" s="6">
        <v>43520.4</v>
      </c>
      <c r="E1851" s="6">
        <v>11064</v>
      </c>
      <c r="F1851" s="9">
        <v>0.75</v>
      </c>
      <c r="H1851" s="11"/>
      <c r="I1851" s="11"/>
      <c r="J1851" s="11"/>
    </row>
    <row r="1852" spans="1:10" ht="15.75" x14ac:dyDescent="0.3">
      <c r="A1852" s="12" t="str">
        <f>HYPERLINK("https://parts-sales.ru/parts/MAN/81063030688","81.06303-0688")</f>
        <v>81.06303-0688</v>
      </c>
      <c r="B1852" s="12" t="str">
        <f>HYPERLINK("https://parts-sales.ru/parts/MAN/81063030688","Шланг")</f>
        <v>Шланг</v>
      </c>
      <c r="C1852" s="3" t="s">
        <v>19</v>
      </c>
      <c r="D1852" s="4">
        <v>23347.200000000001</v>
      </c>
      <c r="E1852" s="4">
        <v>3925</v>
      </c>
      <c r="F1852" s="8">
        <v>0.83</v>
      </c>
      <c r="H1852" s="11"/>
      <c r="I1852" s="11"/>
      <c r="J1852" s="11"/>
    </row>
    <row r="1853" spans="1:10" ht="15.75" x14ac:dyDescent="0.3">
      <c r="A1853" s="13" t="str">
        <f>HYPERLINK("https://parts-sales.ru/parts/MAN/81063030731","81.06303-0731")</f>
        <v>81.06303-0731</v>
      </c>
      <c r="B1853" s="13" t="str">
        <f>HYPERLINK("https://parts-sales.ru/parts/MAN/81063030731","Трубопровод охлажд.жидкости")</f>
        <v>Трубопровод охлажд.жидкости</v>
      </c>
      <c r="C1853" s="5" t="s">
        <v>19</v>
      </c>
      <c r="D1853" s="6">
        <v>65038.8</v>
      </c>
      <c r="E1853" s="6">
        <v>12450</v>
      </c>
      <c r="F1853" s="9">
        <v>0.81</v>
      </c>
      <c r="H1853" s="11"/>
      <c r="I1853" s="11"/>
      <c r="J1853" s="11"/>
    </row>
    <row r="1854" spans="1:10" ht="15.75" x14ac:dyDescent="0.3">
      <c r="A1854" s="12" t="str">
        <f>HYPERLINK("https://parts-sales.ru/parts/MAN/81063035700","81.06303-5700")</f>
        <v>81.06303-5700</v>
      </c>
      <c r="B1854" s="12" t="str">
        <f>HYPERLINK("https://parts-sales.ru/parts/MAN/81063035700","Воздухоотводной провод")</f>
        <v>Воздухоотводной провод</v>
      </c>
      <c r="C1854" s="3" t="s">
        <v>19</v>
      </c>
      <c r="D1854" s="4">
        <v>9657.6</v>
      </c>
      <c r="E1854" s="4">
        <v>2725</v>
      </c>
      <c r="F1854" s="8">
        <v>0.72</v>
      </c>
      <c r="H1854" s="11"/>
      <c r="I1854" s="11"/>
      <c r="J1854" s="11"/>
    </row>
    <row r="1855" spans="1:10" ht="15.75" x14ac:dyDescent="0.3">
      <c r="A1855" s="13" t="str">
        <f>HYPERLINK("https://parts-sales.ru/parts/MAN/81063035720","81.06303-5720")</f>
        <v>81.06303-5720</v>
      </c>
      <c r="B1855" s="13" t="str">
        <f>HYPERLINK("https://parts-sales.ru/parts/MAN/81063035720","Воздухоотводной провод")</f>
        <v>Воздухоотводной провод</v>
      </c>
      <c r="C1855" s="5" t="s">
        <v>19</v>
      </c>
      <c r="D1855" s="6">
        <v>31020</v>
      </c>
      <c r="E1855" s="6">
        <v>6640</v>
      </c>
      <c r="F1855" s="9">
        <v>0.79</v>
      </c>
      <c r="H1855" s="11"/>
      <c r="I1855" s="11"/>
      <c r="J1855" s="11"/>
    </row>
    <row r="1856" spans="1:10" ht="15.75" x14ac:dyDescent="0.3">
      <c r="A1856" s="12" t="str">
        <f>HYPERLINK("https://parts-sales.ru/parts/MAN/81063400320","81.06340-0320")</f>
        <v>81.06340-0320</v>
      </c>
      <c r="B1856" s="12" t="str">
        <f>HYPERLINK("https://parts-sales.ru/parts/MAN/81063400320","Держатель")</f>
        <v>Держатель</v>
      </c>
      <c r="C1856" s="3" t="s">
        <v>19</v>
      </c>
      <c r="D1856" s="4">
        <v>2875.2</v>
      </c>
      <c r="E1856" s="4">
        <v>674</v>
      </c>
      <c r="F1856" s="8">
        <v>0.77</v>
      </c>
      <c r="H1856" s="11"/>
      <c r="I1856" s="11"/>
      <c r="J1856" s="11"/>
    </row>
    <row r="1857" spans="1:10" ht="15.75" x14ac:dyDescent="0.3">
      <c r="A1857" s="13" t="str">
        <f>HYPERLINK("https://parts-sales.ru/parts/MAN/81063400321","81.06340-0321")</f>
        <v>81.06340-0321</v>
      </c>
      <c r="B1857" s="13" t="str">
        <f>HYPERLINK("https://parts-sales.ru/parts/MAN/81063400321","Держатель")</f>
        <v>Держатель</v>
      </c>
      <c r="C1857" s="5" t="s">
        <v>19</v>
      </c>
      <c r="D1857" s="6">
        <v>5024.3999999999996</v>
      </c>
      <c r="E1857" s="6">
        <v>1161</v>
      </c>
      <c r="F1857" s="9">
        <v>0.77</v>
      </c>
      <c r="H1857" s="11"/>
      <c r="I1857" s="11"/>
      <c r="J1857" s="11"/>
    </row>
    <row r="1858" spans="1:10" ht="15.75" x14ac:dyDescent="0.3">
      <c r="A1858" s="12" t="str">
        <f>HYPERLINK("https://parts-sales.ru/parts/MAN/81066200135","81.06620-0135")</f>
        <v>81.06620-0135</v>
      </c>
      <c r="B1858" s="12" t="str">
        <f>HYPERLINK("https://parts-sales.ru/parts/MAN/81066200135","Сопло вентилятора")</f>
        <v>Сопло вентилятора</v>
      </c>
      <c r="C1858" s="3" t="s">
        <v>19</v>
      </c>
      <c r="D1858" s="4">
        <v>33280.800000000003</v>
      </c>
      <c r="E1858" s="4">
        <v>6223</v>
      </c>
      <c r="F1858" s="8">
        <v>0.81</v>
      </c>
      <c r="H1858" s="11"/>
      <c r="I1858" s="11"/>
      <c r="J1858" s="11"/>
    </row>
    <row r="1859" spans="1:10" ht="15.75" x14ac:dyDescent="0.3">
      <c r="A1859" s="13" t="str">
        <f>HYPERLINK("https://parts-sales.ru/parts/MAN/81066200203","81.06620-0203")</f>
        <v>81.06620-0203</v>
      </c>
      <c r="B1859" s="13" t="str">
        <f>HYPERLINK("https://parts-sales.ru/parts/MAN/81066200203","Корпус вентилятора")</f>
        <v>Корпус вентилятора</v>
      </c>
      <c r="C1859" s="5" t="s">
        <v>19</v>
      </c>
      <c r="D1859" s="6">
        <v>42640.800000000003</v>
      </c>
      <c r="E1859" s="6">
        <v>17474</v>
      </c>
      <c r="F1859" s="9">
        <v>0.59</v>
      </c>
      <c r="H1859" s="11"/>
      <c r="I1859" s="11"/>
      <c r="J1859" s="11"/>
    </row>
    <row r="1860" spans="1:10" ht="15.75" x14ac:dyDescent="0.3">
      <c r="A1860" s="12" t="str">
        <f>HYPERLINK("https://parts-sales.ru/parts/MAN/81066680006","81.06668-0006")</f>
        <v>81.06668-0006</v>
      </c>
      <c r="B1860" s="12" t="str">
        <f>HYPERLINK("https://parts-sales.ru/parts/MAN/81066680006","Элемент масляного фильра")</f>
        <v>Элемент масляного фильра</v>
      </c>
      <c r="C1860" s="3" t="s">
        <v>19</v>
      </c>
      <c r="D1860" s="4">
        <v>6013.2</v>
      </c>
      <c r="E1860" s="4">
        <v>1033</v>
      </c>
      <c r="F1860" s="8">
        <v>0.83</v>
      </c>
      <c r="H1860" s="11"/>
      <c r="I1860" s="11"/>
      <c r="J1860" s="11"/>
    </row>
    <row r="1861" spans="1:10" ht="15.75" x14ac:dyDescent="0.3">
      <c r="A1861" s="13" t="str">
        <f>HYPERLINK("https://parts-sales.ru/parts/MAN/81066706003","81.06670-6003")</f>
        <v>81.06670-6003</v>
      </c>
      <c r="B1861" s="13" t="str">
        <f>HYPERLINK("https://parts-sales.ru/parts/MAN/81066706003","Фильтр системы вентиляции")</f>
        <v>Фильтр системы вентиляции</v>
      </c>
      <c r="C1861" s="5" t="s">
        <v>19</v>
      </c>
      <c r="D1861" s="6">
        <v>11740.8</v>
      </c>
      <c r="E1861" s="6">
        <v>2882</v>
      </c>
      <c r="F1861" s="9">
        <v>0.75</v>
      </c>
      <c r="H1861" s="11"/>
      <c r="I1861" s="11"/>
      <c r="J1861" s="11"/>
    </row>
    <row r="1862" spans="1:10" ht="15.75" x14ac:dyDescent="0.3">
      <c r="A1862" s="12" t="str">
        <f>HYPERLINK("https://parts-sales.ru/parts/MAN/81082010500","81.08201-0500")</f>
        <v>81.08201-0500</v>
      </c>
      <c r="B1862" s="12" t="str">
        <f>HYPERLINK("https://parts-sales.ru/parts/MAN/81082010500","Опорное кольцо 124 MM")</f>
        <v>Опорное кольцо 124 MM</v>
      </c>
      <c r="C1862" s="3" t="s">
        <v>18</v>
      </c>
      <c r="D1862" s="4">
        <v>871.2</v>
      </c>
      <c r="E1862" s="4">
        <v>170</v>
      </c>
      <c r="F1862" s="8">
        <v>0.8</v>
      </c>
      <c r="H1862" s="11"/>
      <c r="I1862" s="11"/>
      <c r="J1862" s="11"/>
    </row>
    <row r="1863" spans="1:10" ht="15.75" x14ac:dyDescent="0.3">
      <c r="A1863" s="13" t="str">
        <f>HYPERLINK("https://parts-sales.ru/parts/MAN/81082010573","81.08201-0573")</f>
        <v>81.08201-0573</v>
      </c>
      <c r="B1863" s="13" t="str">
        <f>HYPERLINK("https://parts-sales.ru/parts/MAN/81082010573","Всасывающая труба")</f>
        <v>Всасывающая труба</v>
      </c>
      <c r="C1863" s="5" t="s">
        <v>18</v>
      </c>
      <c r="D1863" s="6">
        <v>3444.59</v>
      </c>
      <c r="E1863" s="6">
        <v>2065</v>
      </c>
      <c r="F1863" s="9">
        <v>0.4</v>
      </c>
      <c r="H1863" s="11"/>
      <c r="I1863" s="11"/>
      <c r="J1863" s="11"/>
    </row>
    <row r="1864" spans="1:10" ht="15.75" x14ac:dyDescent="0.3">
      <c r="A1864" s="12" t="str">
        <f>HYPERLINK("https://parts-sales.ru/parts/MAN/81082016090","81.08201-6090")</f>
        <v>81.08201-6090</v>
      </c>
      <c r="B1864" s="12" t="str">
        <f>HYPERLINK("https://parts-sales.ru/parts/MAN/81082016090","Впускной короб")</f>
        <v>Впускной короб</v>
      </c>
      <c r="C1864" s="3" t="s">
        <v>18</v>
      </c>
      <c r="D1864" s="4">
        <v>25282.799999999999</v>
      </c>
      <c r="E1864" s="4">
        <v>10525</v>
      </c>
      <c r="F1864" s="8">
        <v>0.57999999999999996</v>
      </c>
      <c r="H1864" s="11"/>
      <c r="I1864" s="11"/>
      <c r="J1864" s="11"/>
    </row>
    <row r="1865" spans="1:10" ht="15.75" x14ac:dyDescent="0.3">
      <c r="A1865" s="13" t="str">
        <f>HYPERLINK("https://parts-sales.ru/parts/MAN/81082400825","81.08240-0825")</f>
        <v>81.08240-0825</v>
      </c>
      <c r="B1865" s="13" t="str">
        <f>HYPERLINK("https://parts-sales.ru/parts/MAN/81082400825","Предохранительная сетка")</f>
        <v>Предохранительная сетка</v>
      </c>
      <c r="C1865" s="5" t="s">
        <v>18</v>
      </c>
      <c r="D1865" s="6">
        <v>3450</v>
      </c>
      <c r="E1865" s="6">
        <v>851</v>
      </c>
      <c r="F1865" s="9">
        <v>0.75</v>
      </c>
      <c r="H1865" s="11"/>
      <c r="I1865" s="11"/>
      <c r="J1865" s="11"/>
    </row>
    <row r="1866" spans="1:10" ht="15.75" x14ac:dyDescent="0.3">
      <c r="A1866" s="12" t="str">
        <f>HYPERLINK("https://parts-sales.ru/parts/MAN/81083040093","81.08304-0093")</f>
        <v>81.08304-0093</v>
      </c>
      <c r="B1866" s="12" t="str">
        <f>HYPERLINK("https://parts-sales.ru/parts/MAN/81083040093","Элемент воздушного фильтра")</f>
        <v>Элемент воздушного фильтра</v>
      </c>
      <c r="C1866" s="3" t="s">
        <v>18</v>
      </c>
      <c r="D1866" s="4">
        <v>8134.8</v>
      </c>
      <c r="E1866" s="4">
        <v>3359</v>
      </c>
      <c r="F1866" s="8">
        <v>0.59</v>
      </c>
      <c r="H1866" s="11"/>
      <c r="I1866" s="11"/>
      <c r="J1866" s="11"/>
    </row>
    <row r="1867" spans="1:10" ht="15.75" x14ac:dyDescent="0.3">
      <c r="A1867" s="13" t="str">
        <f>HYPERLINK("https://parts-sales.ru/parts/MAN/81083096012","81.08309-6012")</f>
        <v>81.08309-6012</v>
      </c>
      <c r="B1867" s="13" t="str">
        <f>HYPERLINK("https://parts-sales.ru/parts/MAN/81083096012","Индикатор пониж. давления")</f>
        <v>Индикатор пониж. давления</v>
      </c>
      <c r="C1867" s="5" t="s">
        <v>18</v>
      </c>
      <c r="D1867" s="6">
        <v>21885.599999999999</v>
      </c>
      <c r="E1867" s="6">
        <v>4635</v>
      </c>
      <c r="F1867" s="9">
        <v>0.79</v>
      </c>
      <c r="H1867" s="11"/>
      <c r="I1867" s="11"/>
      <c r="J1867" s="11"/>
    </row>
    <row r="1868" spans="1:10" ht="15.75" x14ac:dyDescent="0.3">
      <c r="A1868" s="12" t="str">
        <f>HYPERLINK("https://parts-sales.ru/parts/MAN/81083120003","81.08312-0003")</f>
        <v>81.08312-0003</v>
      </c>
      <c r="B1868" s="12" t="str">
        <f>HYPERLINK("https://parts-sales.ru/parts/MAN/81083120003","Пылевыпускной клапан")</f>
        <v>Пылевыпускной клапан</v>
      </c>
      <c r="C1868" s="3" t="s">
        <v>18</v>
      </c>
      <c r="D1868" s="4">
        <v>2584.8000000000002</v>
      </c>
      <c r="E1868" s="4">
        <v>862</v>
      </c>
      <c r="F1868" s="8">
        <v>0.67</v>
      </c>
      <c r="H1868" s="11"/>
      <c r="I1868" s="11"/>
      <c r="J1868" s="11"/>
    </row>
    <row r="1869" spans="1:10" ht="15.75" x14ac:dyDescent="0.3">
      <c r="A1869" s="13" t="str">
        <f>HYPERLINK("https://parts-sales.ru/parts/MAN/81083400161","81.08340-0161")</f>
        <v>81.08340-0161</v>
      </c>
      <c r="B1869" s="13" t="str">
        <f>HYPERLINK("https://parts-sales.ru/parts/MAN/81083400161","Замок")</f>
        <v>Замок</v>
      </c>
      <c r="C1869" s="5" t="s">
        <v>18</v>
      </c>
      <c r="D1869" s="6">
        <v>3484.8</v>
      </c>
      <c r="E1869" s="6">
        <v>1085</v>
      </c>
      <c r="F1869" s="9">
        <v>0.69</v>
      </c>
      <c r="H1869" s="11"/>
      <c r="I1869" s="11"/>
      <c r="J1869" s="11"/>
    </row>
    <row r="1870" spans="1:10" ht="15.75" x14ac:dyDescent="0.3">
      <c r="A1870" s="12" t="str">
        <f>HYPERLINK("https://parts-sales.ru/parts/MAN/81084010034","81.08401-0034")</f>
        <v>81.08401-0034</v>
      </c>
      <c r="B1870" s="12" t="str">
        <f>HYPERLINK("https://parts-sales.ru/parts/MAN/81084010034","Предварительный отделитель")</f>
        <v>Предварительный отделитель</v>
      </c>
      <c r="C1870" s="3" t="s">
        <v>18</v>
      </c>
      <c r="D1870" s="4">
        <v>52334.400000000001</v>
      </c>
      <c r="E1870" s="4">
        <v>11710</v>
      </c>
      <c r="F1870" s="8">
        <v>0.78</v>
      </c>
      <c r="H1870" s="11"/>
      <c r="I1870" s="11"/>
      <c r="J1870" s="11"/>
    </row>
    <row r="1871" spans="1:10" ht="15.75" x14ac:dyDescent="0.3">
      <c r="A1871" s="13" t="str">
        <f>HYPERLINK("https://parts-sales.ru/parts/MAN/81084050022","81.08405-0022")</f>
        <v>81.08405-0022</v>
      </c>
      <c r="B1871" s="13" t="str">
        <f>HYPERLINK("https://parts-sales.ru/parts/MAN/81084050022","Элемент воздушного фильтра")</f>
        <v>Элемент воздушного фильтра</v>
      </c>
      <c r="C1871" s="5" t="s">
        <v>18</v>
      </c>
      <c r="D1871" s="6">
        <v>20002.8</v>
      </c>
      <c r="E1871" s="6">
        <v>4225</v>
      </c>
      <c r="F1871" s="9">
        <v>0.79</v>
      </c>
      <c r="H1871" s="11"/>
      <c r="I1871" s="11"/>
      <c r="J1871" s="11"/>
    </row>
    <row r="1872" spans="1:10" ht="15.75" x14ac:dyDescent="0.3">
      <c r="A1872" s="12" t="str">
        <f>HYPERLINK("https://parts-sales.ru/parts/MAN/81084050028","81.08405-0028")</f>
        <v>81.08405-0028</v>
      </c>
      <c r="B1872" s="12" t="str">
        <f>HYPERLINK("https://parts-sales.ru/parts/MAN/81084050028","Предохранительный вкладыш")</f>
        <v>Предохранительный вкладыш</v>
      </c>
      <c r="C1872" s="3" t="s">
        <v>18</v>
      </c>
      <c r="D1872" s="4">
        <v>73303.199999999997</v>
      </c>
      <c r="E1872" s="4">
        <v>12000</v>
      </c>
      <c r="F1872" s="8">
        <v>0.84</v>
      </c>
      <c r="H1872" s="11"/>
      <c r="I1872" s="11"/>
      <c r="J1872" s="11"/>
    </row>
    <row r="1873" spans="1:10" ht="15.75" x14ac:dyDescent="0.3">
      <c r="A1873" s="13" t="str">
        <f>HYPERLINK("https://parts-sales.ru/parts/MAN/81084050029","81.08405-0029")</f>
        <v>81.08405-0029</v>
      </c>
      <c r="B1873" s="13" t="str">
        <f>HYPERLINK("https://parts-sales.ru/parts/MAN/81084050029","Элемент воздушного фильтра")</f>
        <v>Элемент воздушного фильтра</v>
      </c>
      <c r="C1873" s="5" t="s">
        <v>18</v>
      </c>
      <c r="D1873" s="6">
        <v>22062</v>
      </c>
      <c r="E1873" s="6">
        <v>7384</v>
      </c>
      <c r="F1873" s="9">
        <v>0.67</v>
      </c>
      <c r="H1873" s="11"/>
      <c r="I1873" s="11"/>
      <c r="J1873" s="11"/>
    </row>
    <row r="1874" spans="1:10" ht="15.75" x14ac:dyDescent="0.3">
      <c r="A1874" s="12" t="str">
        <f>HYPERLINK("https://parts-sales.ru/parts/MAN/81192200942","81.19220-0942")</f>
        <v>81.19220-0942</v>
      </c>
      <c r="B1874" s="12" t="str">
        <f>HYPERLINK("https://parts-sales.ru/parts/MAN/81192200942","Направл. пластинка воздуха")</f>
        <v>Направл. пластинка воздуха</v>
      </c>
      <c r="C1874" s="3" t="s">
        <v>12</v>
      </c>
      <c r="D1874" s="4">
        <v>48030</v>
      </c>
      <c r="E1874" s="4">
        <v>1099</v>
      </c>
      <c r="F1874" s="8">
        <v>0.98</v>
      </c>
      <c r="H1874" s="11"/>
      <c r="I1874" s="11"/>
      <c r="J1874" s="11"/>
    </row>
    <row r="1875" spans="1:10" ht="15.75" x14ac:dyDescent="0.3">
      <c r="A1875" s="13" t="str">
        <f>HYPERLINK("https://parts-sales.ru/parts/MAN/81192210026","81.19221-0026")</f>
        <v>81.19221-0026</v>
      </c>
      <c r="B1875" s="13" t="str">
        <f>HYPERLINK("https://parts-sales.ru/parts/MAN/81192210026","Противошумовой передник")</f>
        <v>Противошумовой передник</v>
      </c>
      <c r="C1875" s="5" t="s">
        <v>12</v>
      </c>
      <c r="D1875" s="6">
        <v>20547.900000000001</v>
      </c>
      <c r="E1875" s="6">
        <v>9558</v>
      </c>
      <c r="F1875" s="9">
        <v>0.53</v>
      </c>
      <c r="H1875" s="11"/>
      <c r="I1875" s="11"/>
      <c r="J1875" s="11"/>
    </row>
    <row r="1876" spans="1:10" ht="15.75" x14ac:dyDescent="0.3">
      <c r="A1876" s="12" t="str">
        <f>HYPERLINK("https://parts-sales.ru/parts/MAN/81122015922","81.12201-5922")</f>
        <v>81.12201-5922</v>
      </c>
      <c r="B1876" s="12" t="str">
        <f>HYPERLINK("https://parts-sales.ru/parts/MAN/81122015922","Топливный бак 360D / 75L")</f>
        <v>Топливный бак 360D / 75L</v>
      </c>
      <c r="C1876" s="3" t="s">
        <v>20</v>
      </c>
      <c r="D1876" s="4">
        <v>483373.2</v>
      </c>
      <c r="E1876" s="4">
        <v>98156</v>
      </c>
      <c r="F1876" s="8">
        <v>0.8</v>
      </c>
      <c r="H1876" s="11"/>
      <c r="I1876" s="11"/>
      <c r="J1876" s="11"/>
    </row>
    <row r="1877" spans="1:10" ht="15.75" x14ac:dyDescent="0.3">
      <c r="A1877" s="13" t="str">
        <f>HYPERLINK("https://parts-sales.ru/parts/MAN/81122016894","81.12201-6894")</f>
        <v>81.12201-6894</v>
      </c>
      <c r="B1877" s="13" t="str">
        <f>HYPERLINK("https://parts-sales.ru/parts/MAN/81122016894","Топливный бак. Сборка (81.12201-5814+81.27203-6044)")</f>
        <v>Топливный бак. Сборка (81.12201-5814+81.27203-6044)</v>
      </c>
      <c r="C1877" s="5" t="s">
        <v>20</v>
      </c>
      <c r="D1877" s="6">
        <v>163000</v>
      </c>
      <c r="E1877" s="6">
        <v>102600</v>
      </c>
      <c r="F1877" s="9">
        <v>0.37</v>
      </c>
      <c r="H1877" s="11"/>
      <c r="I1877" s="11"/>
      <c r="J1877" s="11"/>
    </row>
    <row r="1878" spans="1:10" ht="15.75" x14ac:dyDescent="0.3">
      <c r="A1878" s="12" t="str">
        <f>HYPERLINK("https://parts-sales.ru/parts/MAN/81122106027","81.12210-6027")</f>
        <v>81.12210-6027</v>
      </c>
      <c r="B1878" s="12" t="str">
        <f>HYPERLINK("https://parts-sales.ru/parts/MAN/81122106027","Крышка топливного бака 80-ML-S-ST-ZN")</f>
        <v>Крышка топливного бака 80-ML-S-ST-ZN</v>
      </c>
      <c r="C1878" s="3" t="s">
        <v>20</v>
      </c>
      <c r="D1878" s="4">
        <v>13542.36</v>
      </c>
      <c r="E1878" s="4">
        <v>8161</v>
      </c>
      <c r="F1878" s="8">
        <v>0.4</v>
      </c>
      <c r="H1878" s="11"/>
      <c r="I1878" s="11"/>
      <c r="J1878" s="11"/>
    </row>
    <row r="1879" spans="1:10" ht="15.75" x14ac:dyDescent="0.3">
      <c r="A1879" s="13" t="str">
        <f>HYPERLINK("https://parts-sales.ru/parts/MAN/81122400098","81.12240-0098")</f>
        <v>81.12240-0098</v>
      </c>
      <c r="B1879" s="13" t="str">
        <f>HYPERLINK("https://parts-sales.ru/parts/MAN/81122400098","Монтажный диск")</f>
        <v>Монтажный диск</v>
      </c>
      <c r="C1879" s="5" t="s">
        <v>20</v>
      </c>
      <c r="D1879" s="6">
        <v>1224</v>
      </c>
      <c r="E1879" s="6">
        <v>154</v>
      </c>
      <c r="F1879" s="9">
        <v>0.87</v>
      </c>
      <c r="H1879" s="11"/>
      <c r="I1879" s="11"/>
      <c r="J1879" s="11"/>
    </row>
    <row r="1880" spans="1:10" ht="15.75" x14ac:dyDescent="0.3">
      <c r="A1880" s="12" t="str">
        <f>HYPERLINK("https://parts-sales.ru/parts/MAN/81123400067","81.12340-0067")</f>
        <v>81.12340-0067</v>
      </c>
      <c r="B1880" s="12" t="str">
        <f>HYPERLINK("https://parts-sales.ru/parts/MAN/81123400067","Держатель")</f>
        <v>Держатель</v>
      </c>
      <c r="C1880" s="3" t="s">
        <v>20</v>
      </c>
      <c r="D1880" s="4">
        <v>4173.6000000000004</v>
      </c>
      <c r="E1880" s="4">
        <v>124</v>
      </c>
      <c r="F1880" s="8">
        <v>0.97</v>
      </c>
      <c r="H1880" s="11"/>
      <c r="I1880" s="11"/>
      <c r="J1880" s="11"/>
    </row>
    <row r="1881" spans="1:10" ht="15.75" x14ac:dyDescent="0.3">
      <c r="A1881" s="13" t="str">
        <f>HYPERLINK("https://parts-sales.ru/parts/MAN/81123400104","81.12340-0104")</f>
        <v>81.12340-0104</v>
      </c>
      <c r="B1881" s="13" t="str">
        <f>HYPERLINK("https://parts-sales.ru/parts/MAN/81123400104","Держатель Топливопровод")</f>
        <v>Держатель Топливопровод</v>
      </c>
      <c r="C1881" s="5" t="s">
        <v>20</v>
      </c>
      <c r="D1881" s="6">
        <v>3603.6</v>
      </c>
      <c r="E1881" s="6">
        <v>776</v>
      </c>
      <c r="F1881" s="9">
        <v>0.78</v>
      </c>
      <c r="H1881" s="11"/>
      <c r="I1881" s="11"/>
      <c r="J1881" s="11"/>
    </row>
    <row r="1882" spans="1:10" ht="15.75" x14ac:dyDescent="0.3">
      <c r="A1882" s="12" t="str">
        <f>HYPERLINK("https://parts-sales.ru/parts/MAN/81123400116","81.12340-0116")</f>
        <v>81.12340-0116</v>
      </c>
      <c r="B1882" s="12" t="str">
        <f>HYPERLINK("https://parts-sales.ru/parts/MAN/81123400116","Держатель Топливопровод")</f>
        <v>Держатель Топливопровод</v>
      </c>
      <c r="C1882" s="3" t="s">
        <v>20</v>
      </c>
      <c r="D1882" s="4">
        <v>39066</v>
      </c>
      <c r="E1882" s="4">
        <v>52</v>
      </c>
      <c r="F1882" s="8">
        <v>1</v>
      </c>
      <c r="H1882" s="11"/>
      <c r="I1882" s="11"/>
      <c r="J1882" s="11"/>
    </row>
    <row r="1883" spans="1:10" ht="15.75" x14ac:dyDescent="0.3">
      <c r="A1883" s="13" t="str">
        <f>HYPERLINK("https://parts-sales.ru/parts/MAN/81123400124","81.12340-0124")</f>
        <v>81.12340-0124</v>
      </c>
      <c r="B1883" s="13" t="str">
        <f>HYPERLINK("https://parts-sales.ru/parts/MAN/81123400124","Держатель Топливопровод")</f>
        <v>Держатель Топливопровод</v>
      </c>
      <c r="C1883" s="5" t="s">
        <v>20</v>
      </c>
      <c r="D1883" s="6">
        <v>4269.6000000000004</v>
      </c>
      <c r="E1883" s="6">
        <v>122</v>
      </c>
      <c r="F1883" s="9">
        <v>0.97</v>
      </c>
      <c r="H1883" s="11"/>
      <c r="I1883" s="11"/>
      <c r="J1883" s="11"/>
    </row>
    <row r="1884" spans="1:10" ht="15.75" x14ac:dyDescent="0.3">
      <c r="A1884" s="12" t="str">
        <f>HYPERLINK("https://parts-sales.ru/parts/MAN/81125030063","81.12503-0063")</f>
        <v>81.12503-0063</v>
      </c>
      <c r="B1884" s="12" t="str">
        <f>HYPERLINK("https://parts-sales.ru/parts/MAN/81125030063","Сменный эл. топлив.фильтра")</f>
        <v>Сменный эл. топлив.фильтра</v>
      </c>
      <c r="C1884" s="3" t="s">
        <v>20</v>
      </c>
      <c r="D1884" s="4">
        <v>1701.6</v>
      </c>
      <c r="E1884" s="4">
        <v>384</v>
      </c>
      <c r="F1884" s="8">
        <v>0.77</v>
      </c>
      <c r="H1884" s="11"/>
      <c r="I1884" s="11"/>
      <c r="J1884" s="11"/>
    </row>
    <row r="1885" spans="1:10" ht="15.75" x14ac:dyDescent="0.3">
      <c r="A1885" s="13" t="str">
        <f>HYPERLINK("https://parts-sales.ru/parts/MAN/81125030086","81.12503-0086")</f>
        <v>81.12503-0086</v>
      </c>
      <c r="B1885" s="13" t="str">
        <f>HYPERLINK("https://parts-sales.ru/parts/MAN/81125030086","Сменный эл. топлив.фильтра Пригодный для")</f>
        <v>Сменный эл. топлив.фильтра Пригодный для</v>
      </c>
      <c r="C1885" s="5" t="s">
        <v>20</v>
      </c>
      <c r="D1885" s="6">
        <v>6699.6</v>
      </c>
      <c r="E1885" s="6">
        <v>1646</v>
      </c>
      <c r="F1885" s="9">
        <v>0.75</v>
      </c>
      <c r="H1885" s="11"/>
      <c r="I1885" s="11"/>
      <c r="J1885" s="11"/>
    </row>
    <row r="1886" spans="1:10" ht="15.75" x14ac:dyDescent="0.3">
      <c r="A1886" s="12" t="str">
        <f>HYPERLINK("https://parts-sales.ru/parts/MAN/81125120004","81.12512-0004")</f>
        <v>81.12512-0004</v>
      </c>
      <c r="B1886" s="12" t="str">
        <f>HYPERLINK("https://parts-sales.ru/parts/MAN/81125120004","Смотровое стекло")</f>
        <v>Смотровое стекло</v>
      </c>
      <c r="C1886" s="3" t="s">
        <v>20</v>
      </c>
      <c r="D1886" s="4">
        <v>11371.2</v>
      </c>
      <c r="E1886" s="4">
        <v>2933</v>
      </c>
      <c r="F1886" s="8">
        <v>0.74</v>
      </c>
      <c r="H1886" s="11"/>
      <c r="I1886" s="11"/>
      <c r="J1886" s="11"/>
    </row>
    <row r="1887" spans="1:10" ht="15.75" x14ac:dyDescent="0.3">
      <c r="A1887" s="13" t="str">
        <f>HYPERLINK("https://parts-sales.ru/parts/MAN/81129026000","81.12902-6000")</f>
        <v>81.12902-6000</v>
      </c>
      <c r="B1887" s="13" t="str">
        <f>HYPERLINK("https://parts-sales.ru/parts/MAN/81129026000","Уплотнительный комплект")</f>
        <v>Уплотнительный комплект</v>
      </c>
      <c r="C1887" s="5" t="s">
        <v>20</v>
      </c>
      <c r="D1887" s="6">
        <v>13570.8</v>
      </c>
      <c r="E1887" s="6">
        <v>7142</v>
      </c>
      <c r="F1887" s="9">
        <v>0.47</v>
      </c>
      <c r="H1887" s="11"/>
      <c r="I1887" s="11"/>
      <c r="J1887" s="11"/>
    </row>
    <row r="1888" spans="1:10" ht="15.75" x14ac:dyDescent="0.3">
      <c r="A1888" s="12" t="str">
        <f>HYPERLINK("https://parts-sales.ru/parts/MAN/81151010511","81.15101-0511")</f>
        <v>81.15101-0511</v>
      </c>
      <c r="B1888" s="12" t="str">
        <f>HYPERLINK("https://parts-sales.ru/parts/MAN/81151010511","Изолирующая шайба")</f>
        <v>Изолирующая шайба</v>
      </c>
      <c r="C1888" s="3" t="s">
        <v>21</v>
      </c>
      <c r="D1888" s="4">
        <v>483.6</v>
      </c>
      <c r="E1888" s="4">
        <v>115</v>
      </c>
      <c r="F1888" s="8">
        <v>0.76</v>
      </c>
      <c r="H1888" s="11"/>
      <c r="I1888" s="11"/>
      <c r="J1888" s="11"/>
    </row>
    <row r="1889" spans="1:10" ht="15.75" x14ac:dyDescent="0.3">
      <c r="A1889" s="13" t="str">
        <f>HYPERLINK("https://parts-sales.ru/parts/MAN/81151036034","81.15103-6034")</f>
        <v>81.15103-6034</v>
      </c>
      <c r="B1889" s="13" t="str">
        <f>HYPERLINK("https://parts-sales.ru/parts/MAN/81151036034","Глушитель")</f>
        <v>Глушитель</v>
      </c>
      <c r="C1889" s="5" t="s">
        <v>21</v>
      </c>
      <c r="D1889" s="6">
        <v>880559.21</v>
      </c>
      <c r="E1889" s="6">
        <v>523105</v>
      </c>
      <c r="F1889" s="9">
        <v>0.41</v>
      </c>
      <c r="H1889" s="11"/>
      <c r="I1889" s="11"/>
      <c r="J1889" s="11"/>
    </row>
    <row r="1890" spans="1:10" ht="15.75" x14ac:dyDescent="0.3">
      <c r="A1890" s="12" t="str">
        <f>HYPERLINK("https://parts-sales.ru/parts/MAN/81151036036","81.15103-6036")</f>
        <v>81.15103-6036</v>
      </c>
      <c r="B1890" s="12" t="str">
        <f>HYPERLINK("https://parts-sales.ru/parts/MAN/81151036036","Глушитель")</f>
        <v>Глушитель</v>
      </c>
      <c r="C1890" s="3" t="s">
        <v>21</v>
      </c>
      <c r="D1890" s="4">
        <v>178807.2</v>
      </c>
      <c r="E1890" s="4">
        <v>95924</v>
      </c>
      <c r="F1890" s="8">
        <v>0.46</v>
      </c>
      <c r="H1890" s="11"/>
      <c r="I1890" s="11"/>
      <c r="J1890" s="11"/>
    </row>
    <row r="1891" spans="1:10" ht="15.75" x14ac:dyDescent="0.3">
      <c r="A1891" s="13" t="str">
        <f>HYPERLINK("https://parts-sales.ru/parts/MAN/81151036128","81.15103-6128")</f>
        <v>81.15103-6128</v>
      </c>
      <c r="B1891" s="13" t="str">
        <f>HYPERLINK("https://parts-sales.ru/parts/MAN/81151036128","Глушитель D20/26")</f>
        <v>Глушитель D20/26</v>
      </c>
      <c r="C1891" s="5" t="s">
        <v>21</v>
      </c>
      <c r="D1891" s="6">
        <v>981102.64</v>
      </c>
      <c r="E1891" s="6">
        <v>424693</v>
      </c>
      <c r="F1891" s="9">
        <v>0.56999999999999995</v>
      </c>
      <c r="H1891" s="11"/>
      <c r="I1891" s="11"/>
      <c r="J1891" s="11"/>
    </row>
    <row r="1892" spans="1:10" ht="15.75" x14ac:dyDescent="0.3">
      <c r="A1892" s="12" t="str">
        <f>HYPERLINK("https://parts-sales.ru/parts/MAN/81152015776","81.15201-5776")</f>
        <v>81.15201-5776</v>
      </c>
      <c r="B1892" s="12" t="str">
        <f>HYPERLINK("https://parts-sales.ru/parts/MAN/81152015776","Выпускной трубопровод")</f>
        <v>Выпускной трубопровод</v>
      </c>
      <c r="C1892" s="3" t="s">
        <v>21</v>
      </c>
      <c r="D1892" s="4">
        <v>7781.81</v>
      </c>
      <c r="E1892" s="4">
        <v>3247</v>
      </c>
      <c r="F1892" s="8">
        <v>0.57999999999999996</v>
      </c>
      <c r="H1892" s="11"/>
      <c r="I1892" s="11"/>
      <c r="J1892" s="11"/>
    </row>
    <row r="1893" spans="1:10" ht="15.75" x14ac:dyDescent="0.3">
      <c r="A1893" s="13" t="str">
        <f>HYPERLINK("https://parts-sales.ru/parts/MAN/81152015795","81.15201-5795")</f>
        <v>81.15201-5795</v>
      </c>
      <c r="B1893" s="13" t="str">
        <f>HYPERLINK("https://parts-sales.ru/parts/MAN/81152015795","Выпускной трубопровод")</f>
        <v>Выпускной трубопровод</v>
      </c>
      <c r="C1893" s="5" t="s">
        <v>21</v>
      </c>
      <c r="D1893" s="6">
        <v>38471.230000000003</v>
      </c>
      <c r="E1893" s="6">
        <v>22995</v>
      </c>
      <c r="F1893" s="9">
        <v>0.4</v>
      </c>
      <c r="H1893" s="11"/>
      <c r="I1893" s="11"/>
      <c r="J1893" s="11"/>
    </row>
    <row r="1894" spans="1:10" ht="15.75" x14ac:dyDescent="0.3">
      <c r="A1894" s="12" t="str">
        <f>HYPERLINK("https://parts-sales.ru/parts/MAN/81152040528","81.15204-0528")</f>
        <v>81.15204-0528</v>
      </c>
      <c r="B1894" s="12" t="str">
        <f>HYPERLINK("https://parts-sales.ru/parts/MAN/81152040528","Тупиковая труба выхлоп. газов")</f>
        <v>Тупиковая труба выхлоп. газов</v>
      </c>
      <c r="C1894" s="3" t="s">
        <v>21</v>
      </c>
      <c r="D1894" s="4">
        <v>40929.339999999997</v>
      </c>
      <c r="E1894" s="4">
        <v>3621</v>
      </c>
      <c r="F1894" s="8">
        <v>0.91</v>
      </c>
      <c r="H1894" s="11"/>
      <c r="I1894" s="11"/>
      <c r="J1894" s="11"/>
    </row>
    <row r="1895" spans="1:10" ht="15.75" x14ac:dyDescent="0.3">
      <c r="A1895" s="13" t="str">
        <f>HYPERLINK("https://parts-sales.ru/parts/MAN/81152040711","81.15204-0711")</f>
        <v>81.15204-0711</v>
      </c>
      <c r="B1895" s="13" t="str">
        <f>HYPERLINK("https://parts-sales.ru/parts/MAN/81152040711","Выпускной трубопровод")</f>
        <v>Выпускной трубопровод</v>
      </c>
      <c r="C1895" s="5" t="s">
        <v>21</v>
      </c>
      <c r="D1895" s="6">
        <v>30214.74</v>
      </c>
      <c r="E1895" s="6">
        <v>13844</v>
      </c>
      <c r="F1895" s="9">
        <v>0.54</v>
      </c>
      <c r="H1895" s="11"/>
      <c r="I1895" s="11"/>
      <c r="J1895" s="11"/>
    </row>
    <row r="1896" spans="1:10" ht="15.75" x14ac:dyDescent="0.3">
      <c r="A1896" s="12" t="str">
        <f>HYPERLINK("https://parts-sales.ru/parts/MAN/81152040729","81.15204-0729")</f>
        <v>81.15204-0729</v>
      </c>
      <c r="B1896" s="12" t="str">
        <f>HYPERLINK("https://parts-sales.ru/parts/MAN/81152040729","Выпускной трубопровод")</f>
        <v>Выпускной трубопровод</v>
      </c>
      <c r="C1896" s="3" t="s">
        <v>21</v>
      </c>
      <c r="D1896" s="4">
        <v>36998.400000000001</v>
      </c>
      <c r="E1896" s="4">
        <v>4159</v>
      </c>
      <c r="F1896" s="8">
        <v>0.89</v>
      </c>
      <c r="H1896" s="11"/>
      <c r="I1896" s="11"/>
      <c r="J1896" s="11"/>
    </row>
    <row r="1897" spans="1:10" ht="15.75" x14ac:dyDescent="0.3">
      <c r="A1897" s="13" t="str">
        <f>HYPERLINK("https://parts-sales.ru/parts/MAN/81152055389","81.15205-5389")</f>
        <v>81.15205-5389</v>
      </c>
      <c r="B1897" s="13" t="str">
        <f>HYPERLINK("https://parts-sales.ru/parts/MAN/81152055389","Выпускной трубопровод")</f>
        <v>Выпускной трубопровод</v>
      </c>
      <c r="C1897" s="5" t="s">
        <v>21</v>
      </c>
      <c r="D1897" s="6">
        <v>110726.84</v>
      </c>
      <c r="E1897" s="6">
        <v>72476</v>
      </c>
      <c r="F1897" s="9">
        <v>0.35</v>
      </c>
      <c r="H1897" s="11"/>
      <c r="I1897" s="11"/>
      <c r="J1897" s="11"/>
    </row>
    <row r="1898" spans="1:10" ht="15.75" x14ac:dyDescent="0.3">
      <c r="A1898" s="12" t="str">
        <f>HYPERLINK("https://parts-sales.ru/parts/MAN/81152055393","81.15205-5393")</f>
        <v>81.15205-5393</v>
      </c>
      <c r="B1898" s="12" t="str">
        <f>HYPERLINK("https://parts-sales.ru/parts/MAN/81152055393","Выпускной трубопровод")</f>
        <v>Выпускной трубопровод</v>
      </c>
      <c r="C1898" s="3" t="s">
        <v>21</v>
      </c>
      <c r="D1898" s="4">
        <v>28707.31</v>
      </c>
      <c r="E1898" s="4">
        <v>19201</v>
      </c>
      <c r="F1898" s="8">
        <v>0.33</v>
      </c>
      <c r="H1898" s="11"/>
      <c r="I1898" s="11"/>
      <c r="J1898" s="11"/>
    </row>
    <row r="1899" spans="1:10" ht="15.75" x14ac:dyDescent="0.3">
      <c r="A1899" s="13" t="str">
        <f>HYPERLINK("https://parts-sales.ru/parts/MAN/81152055435","81.15205-5435")</f>
        <v>81.15205-5435</v>
      </c>
      <c r="B1899" s="13" t="str">
        <f>HYPERLINK("https://parts-sales.ru/parts/MAN/81152055435","Выпускной трубопровод")</f>
        <v>Выпускной трубопровод</v>
      </c>
      <c r="C1899" s="5" t="s">
        <v>21</v>
      </c>
      <c r="D1899" s="6">
        <v>149828.4</v>
      </c>
      <c r="E1899" s="6">
        <v>23709</v>
      </c>
      <c r="F1899" s="9">
        <v>0.84</v>
      </c>
      <c r="H1899" s="11"/>
      <c r="I1899" s="11"/>
      <c r="J1899" s="11"/>
    </row>
    <row r="1900" spans="1:10" ht="15.75" x14ac:dyDescent="0.3">
      <c r="A1900" s="12" t="str">
        <f>HYPERLINK("https://parts-sales.ru/parts/MAN/81152055468","81.15205-5468")</f>
        <v>81.15205-5468</v>
      </c>
      <c r="B1900" s="12" t="str">
        <f>HYPERLINK("https://parts-sales.ru/parts/MAN/81152055468","Тупиковая труба выхлоп. газов")</f>
        <v>Тупиковая труба выхлоп. газов</v>
      </c>
      <c r="C1900" s="3" t="s">
        <v>21</v>
      </c>
      <c r="D1900" s="4">
        <v>6260.4</v>
      </c>
      <c r="E1900" s="4">
        <v>1907</v>
      </c>
      <c r="F1900" s="8">
        <v>0.7</v>
      </c>
      <c r="H1900" s="11"/>
      <c r="I1900" s="11"/>
      <c r="J1900" s="11"/>
    </row>
    <row r="1901" spans="1:10" ht="15.75" x14ac:dyDescent="0.3">
      <c r="A1901" s="13" t="str">
        <f>HYPERLINK("https://parts-sales.ru/parts/MAN/81154006013","81.15400-6013")</f>
        <v>81.15400-6013</v>
      </c>
      <c r="B1901" s="13" t="str">
        <f>HYPERLINK("https://parts-sales.ru/parts/MAN/81154006013","Бак для мочевины. Сборка")</f>
        <v>Бак для мочевины. Сборка</v>
      </c>
      <c r="C1901" s="5" t="s">
        <v>21</v>
      </c>
      <c r="D1901" s="6">
        <v>24314.76</v>
      </c>
      <c r="E1901" s="6">
        <v>16216</v>
      </c>
      <c r="F1901" s="9">
        <v>0.33</v>
      </c>
      <c r="H1901" s="11"/>
      <c r="I1901" s="11"/>
      <c r="J1901" s="11"/>
    </row>
    <row r="1902" spans="1:10" ht="15.75" x14ac:dyDescent="0.3">
      <c r="A1902" s="12" t="str">
        <f>HYPERLINK("https://parts-sales.ru/parts/MAN/81154006025","81.15400-6025")</f>
        <v>81.15400-6025</v>
      </c>
      <c r="B1902" s="12" t="str">
        <f>HYPERLINK("https://parts-sales.ru/parts/MAN/81154006025","Пучок труб Гофрированная труба")</f>
        <v>Пучок труб Гофрированная труба</v>
      </c>
      <c r="C1902" s="3" t="s">
        <v>21</v>
      </c>
      <c r="D1902" s="4">
        <v>72789.600000000006</v>
      </c>
      <c r="E1902" s="4">
        <v>16880</v>
      </c>
      <c r="F1902" s="8">
        <v>0.77</v>
      </c>
      <c r="H1902" s="11"/>
      <c r="I1902" s="11"/>
      <c r="J1902" s="11"/>
    </row>
    <row r="1903" spans="1:10" ht="15.75" x14ac:dyDescent="0.3">
      <c r="A1903" s="13" t="str">
        <f>HYPERLINK("https://parts-sales.ru/parts/MAN/81154006027","81.15400-6027")</f>
        <v>81.15400-6027</v>
      </c>
      <c r="B1903" s="13" t="str">
        <f>HYPERLINK("https://parts-sales.ru/parts/MAN/81154006027","Пучок труб Гофрированная труба")</f>
        <v>Пучок труб Гофрированная труба</v>
      </c>
      <c r="C1903" s="5" t="s">
        <v>21</v>
      </c>
      <c r="D1903" s="6">
        <v>50106.31</v>
      </c>
      <c r="E1903" s="6">
        <v>32797</v>
      </c>
      <c r="F1903" s="9">
        <v>0.35</v>
      </c>
      <c r="H1903" s="11"/>
      <c r="I1903" s="11"/>
      <c r="J1903" s="11"/>
    </row>
    <row r="1904" spans="1:10" ht="15.75" x14ac:dyDescent="0.3">
      <c r="A1904" s="12" t="str">
        <f>HYPERLINK("https://parts-sales.ru/parts/MAN/81154006165","81.15400-6165")</f>
        <v>81.15400-6165</v>
      </c>
      <c r="B1904" s="12" t="str">
        <f>HYPERLINK("https://parts-sales.ru/parts/MAN/81154006165","Комплект трубопроводов")</f>
        <v>Комплект трубопроводов</v>
      </c>
      <c r="C1904" s="3" t="s">
        <v>21</v>
      </c>
      <c r="D1904" s="4">
        <v>16365.6</v>
      </c>
      <c r="E1904" s="4">
        <v>5964</v>
      </c>
      <c r="F1904" s="8">
        <v>0.64</v>
      </c>
      <c r="H1904" s="11"/>
      <c r="I1904" s="11"/>
      <c r="J1904" s="11"/>
    </row>
    <row r="1905" spans="1:10" ht="15.75" x14ac:dyDescent="0.3">
      <c r="A1905" s="13" t="str">
        <f>HYPERLINK("https://parts-sales.ru/parts/MAN/81154006166","81.15400-6166")</f>
        <v>81.15400-6166</v>
      </c>
      <c r="B1905" s="13" t="str">
        <f>HYPERLINK("https://parts-sales.ru/parts/MAN/81154006166","Комплект трубопроводов")</f>
        <v>Комплект трубопроводов</v>
      </c>
      <c r="C1905" s="5" t="s">
        <v>21</v>
      </c>
      <c r="D1905" s="6">
        <v>34011.599999999999</v>
      </c>
      <c r="E1905" s="6">
        <v>5182</v>
      </c>
      <c r="F1905" s="9">
        <v>0.85</v>
      </c>
      <c r="H1905" s="11"/>
      <c r="I1905" s="11"/>
      <c r="J1905" s="11"/>
    </row>
    <row r="1906" spans="1:10" ht="15.75" x14ac:dyDescent="0.3">
      <c r="A1906" s="12" t="str">
        <f>HYPERLINK("https://parts-sales.ru/parts/MAN/81154006401","81.15400-6401")</f>
        <v>81.15400-6401</v>
      </c>
      <c r="B1906" s="12" t="str">
        <f>HYPERLINK("https://parts-sales.ru/parts/MAN/81154006401","Комплект трубопроводов")</f>
        <v>Комплект трубопроводов</v>
      </c>
      <c r="C1906" s="3" t="s">
        <v>21</v>
      </c>
      <c r="D1906" s="4">
        <v>24153.599999999999</v>
      </c>
      <c r="E1906" s="4">
        <v>5959</v>
      </c>
      <c r="F1906" s="8">
        <v>0.75</v>
      </c>
      <c r="H1906" s="11"/>
      <c r="I1906" s="11"/>
      <c r="J1906" s="11"/>
    </row>
    <row r="1907" spans="1:10" ht="15.75" x14ac:dyDescent="0.3">
      <c r="A1907" s="13" t="str">
        <f>HYPERLINK("https://parts-sales.ru/parts/MAN/81154020008","81.15402-0008")</f>
        <v>81.15402-0008</v>
      </c>
      <c r="B1907" s="13" t="str">
        <f>HYPERLINK("https://parts-sales.ru/parts/MAN/81154020008","Кожух")</f>
        <v>Кожух</v>
      </c>
      <c r="C1907" s="5" t="s">
        <v>21</v>
      </c>
      <c r="D1907" s="6">
        <v>4414.8</v>
      </c>
      <c r="E1907" s="6">
        <v>897</v>
      </c>
      <c r="F1907" s="9">
        <v>0.8</v>
      </c>
      <c r="H1907" s="11"/>
      <c r="I1907" s="11"/>
      <c r="J1907" s="11"/>
    </row>
    <row r="1908" spans="1:10" ht="15.75" x14ac:dyDescent="0.3">
      <c r="A1908" s="12" t="str">
        <f>HYPERLINK("https://parts-sales.ru/parts/MAN/81154026008","81.15402-6008")</f>
        <v>81.15402-6008</v>
      </c>
      <c r="B1908" s="12" t="str">
        <f>HYPERLINK("https://parts-sales.ru/parts/MAN/81154026008","Крышка бака Бак для мочевины")</f>
        <v>Крышка бака Бак для мочевины</v>
      </c>
      <c r="C1908" s="3" t="s">
        <v>21</v>
      </c>
      <c r="D1908" s="4">
        <v>3080.4</v>
      </c>
      <c r="E1908" s="4">
        <v>1336</v>
      </c>
      <c r="F1908" s="8">
        <v>0.56999999999999995</v>
      </c>
      <c r="H1908" s="11"/>
      <c r="I1908" s="11"/>
      <c r="J1908" s="11"/>
    </row>
    <row r="1909" spans="1:10" ht="15.75" x14ac:dyDescent="0.3">
      <c r="A1909" s="13" t="str">
        <f>HYPERLINK("https://parts-sales.ru/parts/MAN/81154026022","81.15402-6022")</f>
        <v>81.15402-6022</v>
      </c>
      <c r="B1909" s="13" t="str">
        <f>HYPERLINK("https://parts-sales.ru/parts/MAN/81154026022","Бак для мочевины")</f>
        <v>Бак для мочевины</v>
      </c>
      <c r="C1909" s="5" t="s">
        <v>21</v>
      </c>
      <c r="D1909" s="6">
        <v>37992</v>
      </c>
      <c r="E1909" s="6">
        <v>21971</v>
      </c>
      <c r="F1909" s="9">
        <v>0.42</v>
      </c>
      <c r="H1909" s="11"/>
      <c r="I1909" s="11"/>
      <c r="J1909" s="11"/>
    </row>
    <row r="1910" spans="1:10" ht="15.75" x14ac:dyDescent="0.3">
      <c r="A1910" s="12" t="str">
        <f>HYPERLINK("https://parts-sales.ru/parts/MAN/81154026027","81.15402-6027")</f>
        <v>81.15402-6027</v>
      </c>
      <c r="B1910" s="12" t="str">
        <f>HYPERLINK("https://parts-sales.ru/parts/MAN/81154026027","Крышка бака Бак для мочевины")</f>
        <v>Крышка бака Бак для мочевины</v>
      </c>
      <c r="C1910" s="3" t="s">
        <v>21</v>
      </c>
      <c r="D1910" s="4">
        <v>10190.4</v>
      </c>
      <c r="E1910" s="4">
        <v>1470</v>
      </c>
      <c r="F1910" s="8">
        <v>0.86</v>
      </c>
      <c r="H1910" s="11"/>
      <c r="I1910" s="11"/>
      <c r="J1910" s="11"/>
    </row>
    <row r="1911" spans="1:10" ht="15.75" x14ac:dyDescent="0.3">
      <c r="A1911" s="13" t="str">
        <f>HYPERLINK("https://parts-sales.ru/parts/MAN/81154040001","81.15404-0001")</f>
        <v>81.15404-0001</v>
      </c>
      <c r="B1911" s="13" t="str">
        <f>HYPERLINK("https://parts-sales.ru/parts/MAN/81154040001","Защитный кожух")</f>
        <v>Защитный кожух</v>
      </c>
      <c r="C1911" s="5" t="s">
        <v>21</v>
      </c>
      <c r="D1911" s="6">
        <v>5193.6000000000004</v>
      </c>
      <c r="E1911" s="6">
        <v>672</v>
      </c>
      <c r="F1911" s="9">
        <v>0.87</v>
      </c>
      <c r="H1911" s="11"/>
      <c r="I1911" s="11"/>
      <c r="J1911" s="11"/>
    </row>
    <row r="1912" spans="1:10" ht="15.75" x14ac:dyDescent="0.3">
      <c r="A1912" s="12" t="str">
        <f>HYPERLINK("https://parts-sales.ru/parts/MAN/81155020087","81.15502-0087")</f>
        <v>81.15502-0087</v>
      </c>
      <c r="B1912" s="12" t="str">
        <f>HYPERLINK("https://parts-sales.ru/parts/MAN/81155020087","Угольник 5 отвестий")</f>
        <v>Угольник 5 отвестий</v>
      </c>
      <c r="C1912" s="3" t="s">
        <v>21</v>
      </c>
      <c r="D1912" s="4">
        <v>4845.6000000000004</v>
      </c>
      <c r="E1912" s="4">
        <v>127</v>
      </c>
      <c r="F1912" s="8">
        <v>0.97</v>
      </c>
      <c r="H1912" s="11"/>
      <c r="I1912" s="11"/>
      <c r="J1912" s="11"/>
    </row>
    <row r="1913" spans="1:10" ht="15.75" x14ac:dyDescent="0.3">
      <c r="A1913" s="13" t="str">
        <f>HYPERLINK("https://parts-sales.ru/parts/MAN/81155020198","81.15502-0198")</f>
        <v>81.15502-0198</v>
      </c>
      <c r="B1913" s="13" t="str">
        <f>HYPERLINK("https://parts-sales.ru/parts/MAN/81155020198","Держатель")</f>
        <v>Держатель</v>
      </c>
      <c r="C1913" s="5" t="s">
        <v>21</v>
      </c>
      <c r="D1913" s="6">
        <v>3603.6</v>
      </c>
      <c r="E1913" s="6">
        <v>884</v>
      </c>
      <c r="F1913" s="9">
        <v>0.75</v>
      </c>
      <c r="H1913" s="11"/>
      <c r="I1913" s="11"/>
      <c r="J1913" s="11"/>
    </row>
    <row r="1914" spans="1:10" ht="15.75" x14ac:dyDescent="0.3">
      <c r="A1914" s="12" t="str">
        <f>HYPERLINK("https://parts-sales.ru/parts/MAN/81155020239","81.15502-0239")</f>
        <v>81.15502-0239</v>
      </c>
      <c r="B1914" s="12" t="str">
        <f>HYPERLINK("https://parts-sales.ru/parts/MAN/81155020239","Держатель")</f>
        <v>Держатель</v>
      </c>
      <c r="C1914" s="3" t="s">
        <v>21</v>
      </c>
      <c r="D1914" s="4">
        <v>4994.3999999999996</v>
      </c>
      <c r="E1914" s="4">
        <v>1029</v>
      </c>
      <c r="F1914" s="8">
        <v>0.79</v>
      </c>
      <c r="H1914" s="11"/>
      <c r="I1914" s="11"/>
      <c r="J1914" s="11"/>
    </row>
    <row r="1915" spans="1:10" ht="15.75" x14ac:dyDescent="0.3">
      <c r="A1915" s="13" t="str">
        <f>HYPERLINK("https://parts-sales.ru/parts/MAN/81155020272","81.15502-0272")</f>
        <v>81.15502-0272</v>
      </c>
      <c r="B1915" s="13" t="str">
        <f>HYPERLINK("https://parts-sales.ru/parts/MAN/81155020272","Держатель")</f>
        <v>Держатель</v>
      </c>
      <c r="C1915" s="5" t="s">
        <v>21</v>
      </c>
      <c r="D1915" s="6">
        <v>13450.8</v>
      </c>
      <c r="E1915" s="6">
        <v>102</v>
      </c>
      <c r="F1915" s="9">
        <v>0.99</v>
      </c>
      <c r="H1915" s="11"/>
      <c r="I1915" s="11"/>
      <c r="J1915" s="11"/>
    </row>
    <row r="1916" spans="1:10" ht="15.75" x14ac:dyDescent="0.3">
      <c r="A1916" s="12" t="str">
        <f>HYPERLINK("https://parts-sales.ru/parts/MAN/81155025264","81.15502-5264")</f>
        <v>81.15502-5264</v>
      </c>
      <c r="B1916" s="12" t="str">
        <f>HYPERLINK("https://parts-sales.ru/parts/MAN/81155025264","Опора")</f>
        <v>Опора</v>
      </c>
      <c r="C1916" s="3" t="s">
        <v>21</v>
      </c>
      <c r="D1916" s="4">
        <v>28755.599999999999</v>
      </c>
      <c r="E1916" s="4">
        <v>5113</v>
      </c>
      <c r="F1916" s="8">
        <v>0.82</v>
      </c>
      <c r="H1916" s="11"/>
      <c r="I1916" s="11"/>
      <c r="J1916" s="11"/>
    </row>
    <row r="1917" spans="1:10" ht="15.75" x14ac:dyDescent="0.3">
      <c r="A1917" s="13" t="str">
        <f>HYPERLINK("https://parts-sales.ru/parts/MAN/81155025285","81.15502-5285")</f>
        <v>81.15502-5285</v>
      </c>
      <c r="B1917" s="13" t="str">
        <f>HYPERLINK("https://parts-sales.ru/parts/MAN/81155025285","Держатель")</f>
        <v>Держатель</v>
      </c>
      <c r="C1917" s="5" t="s">
        <v>21</v>
      </c>
      <c r="D1917" s="6">
        <v>4312.8</v>
      </c>
      <c r="E1917" s="6">
        <v>554</v>
      </c>
      <c r="F1917" s="9">
        <v>0.87</v>
      </c>
      <c r="H1917" s="11"/>
      <c r="I1917" s="11"/>
      <c r="J1917" s="11"/>
    </row>
    <row r="1918" spans="1:10" ht="15.75" x14ac:dyDescent="0.3">
      <c r="A1918" s="12" t="str">
        <f>HYPERLINK("https://parts-sales.ru/parts/MAN/81155025290","81.15502-5290")</f>
        <v>81.15502-5290</v>
      </c>
      <c r="B1918" s="12" t="str">
        <f>HYPERLINK("https://parts-sales.ru/parts/MAN/81155025290","Опора")</f>
        <v>Опора</v>
      </c>
      <c r="C1918" s="3" t="s">
        <v>21</v>
      </c>
      <c r="D1918" s="4">
        <v>45186</v>
      </c>
      <c r="E1918" s="4">
        <v>991</v>
      </c>
      <c r="F1918" s="8">
        <v>0.98</v>
      </c>
      <c r="H1918" s="11"/>
      <c r="I1918" s="11"/>
      <c r="J1918" s="11"/>
    </row>
    <row r="1919" spans="1:10" ht="15.75" x14ac:dyDescent="0.3">
      <c r="A1919" s="13" t="str">
        <f>HYPERLINK("https://parts-sales.ru/parts/MAN/81155025396","81.15502-5396")</f>
        <v>81.15502-5396</v>
      </c>
      <c r="B1919" s="13" t="str">
        <f>HYPERLINK("https://parts-sales.ru/parts/MAN/81155025396","Держатель")</f>
        <v>Держатель</v>
      </c>
      <c r="C1919" s="5" t="s">
        <v>21</v>
      </c>
      <c r="D1919" s="6">
        <v>8041.58</v>
      </c>
      <c r="E1919" s="6">
        <v>2359</v>
      </c>
      <c r="F1919" s="9">
        <v>0.71</v>
      </c>
      <c r="H1919" s="11"/>
      <c r="I1919" s="11"/>
      <c r="J1919" s="11"/>
    </row>
    <row r="1920" spans="1:10" ht="15.75" x14ac:dyDescent="0.3">
      <c r="A1920" s="12" t="str">
        <f>HYPERLINK("https://parts-sales.ru/parts/MAN/81155025421","81.15502-5421")</f>
        <v>81.15502-5421</v>
      </c>
      <c r="B1920" s="12" t="str">
        <f>HYPERLINK("https://parts-sales.ru/parts/MAN/81155025421","Держатель")</f>
        <v>Держатель</v>
      </c>
      <c r="C1920" s="3" t="s">
        <v>21</v>
      </c>
      <c r="D1920" s="4">
        <v>7418.4</v>
      </c>
      <c r="E1920" s="4">
        <v>1122</v>
      </c>
      <c r="F1920" s="8">
        <v>0.85</v>
      </c>
      <c r="H1920" s="11"/>
      <c r="I1920" s="11"/>
      <c r="J1920" s="11"/>
    </row>
    <row r="1921" spans="1:10" ht="15.75" x14ac:dyDescent="0.3">
      <c r="A1921" s="13" t="str">
        <f>HYPERLINK("https://parts-sales.ru/parts/MAN/81155025443","81.15502-5443")</f>
        <v>81.15502-5443</v>
      </c>
      <c r="B1921" s="13" t="str">
        <f>HYPERLINK("https://parts-sales.ru/parts/MAN/81155025443","Опора")</f>
        <v>Опора</v>
      </c>
      <c r="C1921" s="5" t="s">
        <v>21</v>
      </c>
      <c r="D1921" s="6">
        <v>4932.6400000000003</v>
      </c>
      <c r="E1921" s="6">
        <v>2260</v>
      </c>
      <c r="F1921" s="9">
        <v>0.54</v>
      </c>
      <c r="H1921" s="11"/>
      <c r="I1921" s="11"/>
      <c r="J1921" s="11"/>
    </row>
    <row r="1922" spans="1:10" ht="15.75" x14ac:dyDescent="0.3">
      <c r="A1922" s="12" t="str">
        <f>HYPERLINK("https://parts-sales.ru/parts/MAN/81155025528","81.15502-5528")</f>
        <v>81.15502-5528</v>
      </c>
      <c r="B1922" s="12" t="str">
        <f>HYPERLINK("https://parts-sales.ru/parts/MAN/81155025528","Держатель")</f>
        <v>Держатель</v>
      </c>
      <c r="C1922" s="3" t="s">
        <v>21</v>
      </c>
      <c r="D1922" s="4">
        <v>3330</v>
      </c>
      <c r="E1922" s="4">
        <v>516</v>
      </c>
      <c r="F1922" s="8">
        <v>0.85</v>
      </c>
      <c r="H1922" s="11"/>
      <c r="I1922" s="11"/>
      <c r="J1922" s="11"/>
    </row>
    <row r="1923" spans="1:10" ht="15.75" x14ac:dyDescent="0.3">
      <c r="A1923" s="13" t="str">
        <f>HYPERLINK("https://parts-sales.ru/parts/MAN/81155025531","81.15502-5531")</f>
        <v>81.15502-5531</v>
      </c>
      <c r="B1923" s="13" t="str">
        <f>HYPERLINK("https://parts-sales.ru/parts/MAN/81155025531","Опора")</f>
        <v>Опора</v>
      </c>
      <c r="C1923" s="5" t="s">
        <v>21</v>
      </c>
      <c r="D1923" s="6">
        <v>22291.58</v>
      </c>
      <c r="E1923" s="6">
        <v>9338</v>
      </c>
      <c r="F1923" s="9">
        <v>0.57999999999999996</v>
      </c>
      <c r="H1923" s="11"/>
      <c r="I1923" s="11"/>
      <c r="J1923" s="11"/>
    </row>
    <row r="1924" spans="1:10" ht="15.75" x14ac:dyDescent="0.3">
      <c r="A1924" s="12" t="str">
        <f>HYPERLINK("https://parts-sales.ru/parts/MAN/81155025532","81.15502-5532")</f>
        <v>81.15502-5532</v>
      </c>
      <c r="B1924" s="12" t="str">
        <f>HYPERLINK("https://parts-sales.ru/parts/MAN/81155025532","Держатель")</f>
        <v>Держатель</v>
      </c>
      <c r="C1924" s="3" t="s">
        <v>21</v>
      </c>
      <c r="D1924" s="4">
        <v>45157.2</v>
      </c>
      <c r="E1924" s="4">
        <v>1403</v>
      </c>
      <c r="F1924" s="8">
        <v>0.97</v>
      </c>
      <c r="H1924" s="11"/>
      <c r="I1924" s="11"/>
      <c r="J1924" s="11"/>
    </row>
    <row r="1925" spans="1:10" ht="15.75" x14ac:dyDescent="0.3">
      <c r="A1925" s="13" t="str">
        <f>HYPERLINK("https://parts-sales.ru/parts/MAN/81155110037","81.15511-0037")</f>
        <v>81.15511-0037</v>
      </c>
      <c r="B1925" s="13" t="str">
        <f>HYPERLINK("https://parts-sales.ru/parts/MAN/81155110037","Угловая часть")</f>
        <v>Угловая часть</v>
      </c>
      <c r="C1925" s="5" t="s">
        <v>21</v>
      </c>
      <c r="D1925" s="6">
        <v>3654</v>
      </c>
      <c r="E1925" s="6">
        <v>743</v>
      </c>
      <c r="F1925" s="9">
        <v>0.8</v>
      </c>
      <c r="H1925" s="11"/>
      <c r="I1925" s="11"/>
      <c r="J1925" s="11"/>
    </row>
    <row r="1926" spans="1:10" ht="15.75" x14ac:dyDescent="0.3">
      <c r="A1926" s="12" t="str">
        <f>HYPERLINK("https://parts-sales.ru/parts/MAN/81155110103","81.15511-0103")</f>
        <v>81.15511-0103</v>
      </c>
      <c r="B1926" s="12" t="str">
        <f>HYPERLINK("https://parts-sales.ru/parts/MAN/81155110103","Подкладка 8 mm")</f>
        <v>Подкладка 8 mm</v>
      </c>
      <c r="C1926" s="3" t="s">
        <v>21</v>
      </c>
      <c r="D1926" s="4">
        <v>2349.6</v>
      </c>
      <c r="E1926" s="4">
        <v>82</v>
      </c>
      <c r="F1926" s="8">
        <v>0.97</v>
      </c>
      <c r="H1926" s="11"/>
      <c r="I1926" s="11"/>
      <c r="J1926" s="11"/>
    </row>
    <row r="1927" spans="1:10" ht="15.75" x14ac:dyDescent="0.3">
      <c r="A1927" s="13" t="str">
        <f>HYPERLINK("https://parts-sales.ru/parts/MAN/81155110200","81.15511-0200")</f>
        <v>81.15511-0200</v>
      </c>
      <c r="B1927" s="13" t="str">
        <f>HYPERLINK("https://parts-sales.ru/parts/MAN/81155110200","Держатель")</f>
        <v>Держатель</v>
      </c>
      <c r="C1927" s="5" t="s">
        <v>21</v>
      </c>
      <c r="D1927" s="6">
        <v>5965.2</v>
      </c>
      <c r="E1927" s="6">
        <v>990</v>
      </c>
      <c r="F1927" s="9">
        <v>0.83</v>
      </c>
      <c r="H1927" s="11"/>
      <c r="I1927" s="11"/>
      <c r="J1927" s="11"/>
    </row>
    <row r="1928" spans="1:10" ht="15.75" x14ac:dyDescent="0.3">
      <c r="A1928" s="12" t="str">
        <f>HYPERLINK("https://parts-sales.ru/parts/MAN/81155115089","81.15511-5089")</f>
        <v>81.15511-5089</v>
      </c>
      <c r="B1928" s="12" t="str">
        <f>HYPERLINK("https://parts-sales.ru/parts/MAN/81155115089","Несущая балка")</f>
        <v>Несущая балка</v>
      </c>
      <c r="C1928" s="3" t="s">
        <v>21</v>
      </c>
      <c r="D1928" s="4">
        <v>15391.2</v>
      </c>
      <c r="E1928" s="4">
        <v>1799</v>
      </c>
      <c r="F1928" s="8">
        <v>0.88</v>
      </c>
      <c r="H1928" s="11"/>
      <c r="I1928" s="11"/>
      <c r="J1928" s="11"/>
    </row>
    <row r="1929" spans="1:10" ht="15.75" x14ac:dyDescent="0.3">
      <c r="A1929" s="13" t="str">
        <f>HYPERLINK("https://parts-sales.ru/parts/MAN/81155115090","81.15511-5090")</f>
        <v>81.15511-5090</v>
      </c>
      <c r="B1929" s="13" t="str">
        <f>HYPERLINK("https://parts-sales.ru/parts/MAN/81155115090","Несущая балка")</f>
        <v>Несущая балка</v>
      </c>
      <c r="C1929" s="5" t="s">
        <v>21</v>
      </c>
      <c r="D1929" s="6">
        <v>6096.31</v>
      </c>
      <c r="E1929" s="6">
        <v>2793</v>
      </c>
      <c r="F1929" s="9">
        <v>0.54</v>
      </c>
      <c r="H1929" s="11"/>
      <c r="I1929" s="11"/>
      <c r="J1929" s="11"/>
    </row>
    <row r="1930" spans="1:10" ht="15.75" x14ac:dyDescent="0.3">
      <c r="A1930" s="12" t="str">
        <f>HYPERLINK("https://parts-sales.ru/parts/MAN/81155115164","81.15511-5164")</f>
        <v>81.15511-5164</v>
      </c>
      <c r="B1930" s="12" t="str">
        <f>HYPERLINK("https://parts-sales.ru/parts/MAN/81155115164","Держатель")</f>
        <v>Держатель</v>
      </c>
      <c r="C1930" s="3" t="s">
        <v>21</v>
      </c>
      <c r="D1930" s="4">
        <v>12603.6</v>
      </c>
      <c r="E1930" s="4">
        <v>1642</v>
      </c>
      <c r="F1930" s="8">
        <v>0.87</v>
      </c>
      <c r="H1930" s="11"/>
      <c r="I1930" s="11"/>
      <c r="J1930" s="11"/>
    </row>
    <row r="1931" spans="1:10" ht="15.75" x14ac:dyDescent="0.3">
      <c r="A1931" s="13" t="str">
        <f>HYPERLINK("https://parts-sales.ru/parts/MAN/81155115185","81.15511-5185")</f>
        <v>81.15511-5185</v>
      </c>
      <c r="B1931" s="13" t="str">
        <f>HYPERLINK("https://parts-sales.ru/parts/MAN/81155115185","Несущая балка")</f>
        <v>Несущая балка</v>
      </c>
      <c r="C1931" s="5" t="s">
        <v>21</v>
      </c>
      <c r="D1931" s="6">
        <v>6380.53</v>
      </c>
      <c r="E1931" s="6">
        <v>1871</v>
      </c>
      <c r="F1931" s="9">
        <v>0.71</v>
      </c>
      <c r="H1931" s="11"/>
      <c r="I1931" s="11"/>
      <c r="J1931" s="11"/>
    </row>
    <row r="1932" spans="1:10" ht="15.75" x14ac:dyDescent="0.3">
      <c r="A1932" s="12" t="str">
        <f>HYPERLINK("https://parts-sales.ru/parts/MAN/81156006103","81.15600-6103")</f>
        <v>81.15600-6103</v>
      </c>
      <c r="B1932" s="12" t="str">
        <f>HYPERLINK("https://parts-sales.ru/parts/MAN/81156006103","Тормоз двигателя")</f>
        <v>Тормоз двигателя</v>
      </c>
      <c r="C1932" s="3" t="s">
        <v>21</v>
      </c>
      <c r="D1932" s="4">
        <v>121119.6</v>
      </c>
      <c r="E1932" s="4">
        <v>36898</v>
      </c>
      <c r="F1932" s="8">
        <v>0.7</v>
      </c>
      <c r="H1932" s="11"/>
      <c r="I1932" s="11"/>
      <c r="J1932" s="11"/>
    </row>
    <row r="1933" spans="1:10" ht="15.75" x14ac:dyDescent="0.3">
      <c r="A1933" s="13" t="str">
        <f>HYPERLINK("https://parts-sales.ru/parts/MAN/81156006135","81.15600-6135")</f>
        <v>81.15600-6135</v>
      </c>
      <c r="B1933" s="13" t="str">
        <f>HYPERLINK("https://parts-sales.ru/parts/MAN/81156006135","Тормоз двигателя")</f>
        <v>Тормоз двигателя</v>
      </c>
      <c r="C1933" s="5" t="s">
        <v>21</v>
      </c>
      <c r="D1933" s="6">
        <v>55756.87</v>
      </c>
      <c r="E1933" s="6">
        <v>26020</v>
      </c>
      <c r="F1933" s="9">
        <v>0.53</v>
      </c>
      <c r="H1933" s="11"/>
      <c r="I1933" s="11"/>
      <c r="J1933" s="11"/>
    </row>
    <row r="1934" spans="1:10" ht="15.75" x14ac:dyDescent="0.3">
      <c r="A1934" s="12" t="str">
        <f>HYPERLINK("https://parts-sales.ru/parts/MAN/81156010003","81.15601-0003")</f>
        <v>81.15601-0003</v>
      </c>
      <c r="B1934" s="12" t="str">
        <f>HYPERLINK("https://parts-sales.ru/parts/MAN/81156010003","Шайба")</f>
        <v>Шайба</v>
      </c>
      <c r="C1934" s="3" t="s">
        <v>21</v>
      </c>
      <c r="D1934" s="4">
        <v>1201.2</v>
      </c>
      <c r="E1934" s="4">
        <v>502</v>
      </c>
      <c r="F1934" s="8">
        <v>0.57999999999999996</v>
      </c>
      <c r="H1934" s="11"/>
      <c r="I1934" s="11"/>
      <c r="J1934" s="11"/>
    </row>
    <row r="1935" spans="1:10" ht="15.75" x14ac:dyDescent="0.3">
      <c r="A1935" s="13" t="str">
        <f>HYPERLINK("https://parts-sales.ru/parts/MAN/81156400019","81.15640-0019")</f>
        <v>81.15640-0019</v>
      </c>
      <c r="B1935" s="13" t="str">
        <f>HYPERLINK("https://parts-sales.ru/parts/MAN/81156400019","Консоль")</f>
        <v>Консоль</v>
      </c>
      <c r="C1935" s="5" t="s">
        <v>21</v>
      </c>
      <c r="D1935" s="6">
        <v>17077.2</v>
      </c>
      <c r="E1935" s="6">
        <v>3539</v>
      </c>
      <c r="F1935" s="9">
        <v>0.79</v>
      </c>
      <c r="H1935" s="11"/>
      <c r="I1935" s="11"/>
      <c r="J1935" s="11"/>
    </row>
    <row r="1936" spans="1:10" ht="15.75" x14ac:dyDescent="0.3">
      <c r="A1936" s="12" t="str">
        <f>HYPERLINK("https://parts-sales.ru/parts/MAN/81157400011","81.15740-0011")</f>
        <v>81.15740-0011</v>
      </c>
      <c r="B1936" s="12" t="str">
        <f>HYPERLINK("https://parts-sales.ru/parts/MAN/81157400011","Консоль")</f>
        <v>Консоль</v>
      </c>
      <c r="C1936" s="3" t="s">
        <v>21</v>
      </c>
      <c r="D1936" s="4">
        <v>20492.400000000001</v>
      </c>
      <c r="E1936" s="4">
        <v>3747</v>
      </c>
      <c r="F1936" s="8">
        <v>0.82</v>
      </c>
      <c r="H1936" s="11"/>
      <c r="I1936" s="11"/>
      <c r="J1936" s="11"/>
    </row>
    <row r="1937" spans="1:10" ht="15.75" x14ac:dyDescent="0.3">
      <c r="A1937" s="13" t="str">
        <f>HYPERLINK("https://parts-sales.ru/parts/MAN/81159010036","81.15901-0036")</f>
        <v>81.15901-0036</v>
      </c>
      <c r="B1937" s="13" t="str">
        <f>HYPERLINK("https://parts-sales.ru/parts/MAN/81159010036","Уплотнительное кольцо 76X90X14-ST35-BK")</f>
        <v>Уплотнительное кольцо 76X90X14-ST35-BK</v>
      </c>
      <c r="C1937" s="5" t="s">
        <v>21</v>
      </c>
      <c r="D1937" s="6">
        <v>6481.2</v>
      </c>
      <c r="E1937" s="6">
        <v>1288</v>
      </c>
      <c r="F1937" s="9">
        <v>0.8</v>
      </c>
      <c r="H1937" s="11"/>
      <c r="I1937" s="11"/>
      <c r="J1937" s="11"/>
    </row>
    <row r="1938" spans="1:10" ht="15.75" x14ac:dyDescent="0.3">
      <c r="A1938" s="12" t="str">
        <f>HYPERLINK("https://parts-sales.ru/parts/MAN/81159010042","81.15901-0042")</f>
        <v>81.15901-0042</v>
      </c>
      <c r="B1938" s="12" t="str">
        <f>HYPERLINK("https://parts-sales.ru/parts/MAN/81159010042","Уплотнительное кольцо")</f>
        <v>Уплотнительное кольцо</v>
      </c>
      <c r="C1938" s="3" t="s">
        <v>21</v>
      </c>
      <c r="D1938" s="4">
        <v>1885.2</v>
      </c>
      <c r="E1938" s="4">
        <v>725</v>
      </c>
      <c r="F1938" s="8">
        <v>0.62</v>
      </c>
      <c r="H1938" s="11"/>
      <c r="I1938" s="11"/>
      <c r="J1938" s="11"/>
    </row>
    <row r="1939" spans="1:10" ht="15.75" x14ac:dyDescent="0.3">
      <c r="A1939" s="13" t="str">
        <f>HYPERLINK("https://parts-sales.ru/parts/MAN/81192210065","81.19221-0065")</f>
        <v>81.19221-0065</v>
      </c>
      <c r="B1939" s="13" t="str">
        <f>HYPERLINK("https://parts-sales.ru/parts/MAN/81192210065","Кожух")</f>
        <v>Кожух</v>
      </c>
      <c r="C1939" s="5" t="s">
        <v>12</v>
      </c>
      <c r="D1939" s="6">
        <v>20052</v>
      </c>
      <c r="E1939" s="6">
        <v>4117</v>
      </c>
      <c r="F1939" s="9">
        <v>0.79</v>
      </c>
      <c r="H1939" s="11"/>
      <c r="I1939" s="11"/>
      <c r="J1939" s="11"/>
    </row>
    <row r="1940" spans="1:10" ht="15.75" x14ac:dyDescent="0.3">
      <c r="A1940" s="12" t="str">
        <f>HYPERLINK("https://parts-sales.ru/parts/MAN/81192210086","81.19221-0086")</f>
        <v>81.19221-0086</v>
      </c>
      <c r="B1940" s="12" t="str">
        <f>HYPERLINK("https://parts-sales.ru/parts/MAN/81192210086","Противошумовой передник")</f>
        <v>Противошумовой передник</v>
      </c>
      <c r="C1940" s="3" t="s">
        <v>12</v>
      </c>
      <c r="D1940" s="4">
        <v>8216.4</v>
      </c>
      <c r="E1940" s="4">
        <v>295</v>
      </c>
      <c r="F1940" s="8">
        <v>0.96</v>
      </c>
      <c r="H1940" s="11"/>
      <c r="I1940" s="11"/>
      <c r="J1940" s="11"/>
    </row>
    <row r="1941" spans="1:10" ht="15.75" x14ac:dyDescent="0.3">
      <c r="A1941" s="13" t="str">
        <f>HYPERLINK("https://parts-sales.ru/parts/MAN/81192400042","81.19240-0042")</f>
        <v>81.19240-0042</v>
      </c>
      <c r="B1941" s="13" t="str">
        <f>HYPERLINK("https://parts-sales.ru/parts/MAN/81192400042","Держатель")</f>
        <v>Держатель</v>
      </c>
      <c r="C1941" s="5" t="s">
        <v>12</v>
      </c>
      <c r="D1941" s="6">
        <v>5818.8</v>
      </c>
      <c r="E1941" s="6">
        <v>742</v>
      </c>
      <c r="F1941" s="9">
        <v>0.87</v>
      </c>
      <c r="H1941" s="11"/>
      <c r="I1941" s="11"/>
      <c r="J1941" s="11"/>
    </row>
    <row r="1942" spans="1:10" ht="15.75" x14ac:dyDescent="0.3">
      <c r="A1942" s="12" t="str">
        <f>HYPERLINK("https://parts-sales.ru/parts/MAN/81192400056","81.19240-0056")</f>
        <v>81.19240-0056</v>
      </c>
      <c r="B1942" s="12" t="str">
        <f>HYPERLINK("https://parts-sales.ru/parts/MAN/81192400056","Обрамление")</f>
        <v>Обрамление</v>
      </c>
      <c r="C1942" s="3" t="s">
        <v>12</v>
      </c>
      <c r="D1942" s="4">
        <v>1290</v>
      </c>
      <c r="E1942" s="4">
        <v>144</v>
      </c>
      <c r="F1942" s="8">
        <v>0.89</v>
      </c>
      <c r="H1942" s="11"/>
      <c r="I1942" s="11"/>
      <c r="J1942" s="11"/>
    </row>
    <row r="1943" spans="1:10" ht="15.75" x14ac:dyDescent="0.3">
      <c r="A1943" s="13" t="str">
        <f>HYPERLINK("https://parts-sales.ru/parts/MAN/81192400098","81.19240-0098")</f>
        <v>81.19240-0098</v>
      </c>
      <c r="B1943" s="13" t="str">
        <f>HYPERLINK("https://parts-sales.ru/parts/MAN/81192400098","Держатель")</f>
        <v>Держатель</v>
      </c>
      <c r="C1943" s="5" t="s">
        <v>12</v>
      </c>
      <c r="D1943" s="6">
        <v>7632</v>
      </c>
      <c r="E1943" s="6">
        <v>811</v>
      </c>
      <c r="F1943" s="9">
        <v>0.89</v>
      </c>
      <c r="H1943" s="11"/>
      <c r="I1943" s="11"/>
      <c r="J1943" s="11"/>
    </row>
    <row r="1944" spans="1:10" ht="15.75" x14ac:dyDescent="0.3">
      <c r="A1944" s="12" t="str">
        <f>HYPERLINK("https://parts-sales.ru/parts/MAN/81192405019","81.19240-5019")</f>
        <v>81.19240-5019</v>
      </c>
      <c r="B1944" s="12" t="str">
        <f>HYPERLINK("https://parts-sales.ru/parts/MAN/81192405019","Накладка")</f>
        <v>Накладка</v>
      </c>
      <c r="C1944" s="3" t="s">
        <v>12</v>
      </c>
      <c r="D1944" s="4">
        <v>4312.8</v>
      </c>
      <c r="E1944" s="4">
        <v>772</v>
      </c>
      <c r="F1944" s="8">
        <v>0.82</v>
      </c>
      <c r="H1944" s="11"/>
      <c r="I1944" s="11"/>
      <c r="J1944" s="11"/>
    </row>
    <row r="1945" spans="1:10" ht="15.75" x14ac:dyDescent="0.3">
      <c r="A1945" s="13" t="str">
        <f>HYPERLINK("https://parts-sales.ru/parts/MAN/33251026001","33.25102-6001")</f>
        <v>33.25102-6001</v>
      </c>
      <c r="B1945" s="13" t="str">
        <f>HYPERLINK("https://parts-sales.ru/parts/MAN/33251026001","Противотуманные фары световой диод")</f>
        <v>Противотуманные фары световой диод</v>
      </c>
      <c r="C1945" s="5" t="s">
        <v>12</v>
      </c>
      <c r="D1945" s="6">
        <v>55167.6</v>
      </c>
      <c r="E1945" s="6">
        <v>13671</v>
      </c>
      <c r="F1945" s="9">
        <v>0.75</v>
      </c>
      <c r="H1945" s="11"/>
      <c r="I1945" s="11"/>
      <c r="J1945" s="11"/>
    </row>
    <row r="1946" spans="1:10" ht="15.75" x14ac:dyDescent="0.3">
      <c r="A1946" s="12" t="str">
        <f>HYPERLINK("https://parts-sales.ru/parts/MAN/33254320008","33.25432-0008")</f>
        <v>33.25432-0008</v>
      </c>
      <c r="B1946" s="12" t="str">
        <f>HYPERLINK("https://parts-sales.ru/parts/MAN/33254320008","Корпус штекера 2-6,3-SW")</f>
        <v>Корпус штекера 2-6,3-SW</v>
      </c>
      <c r="C1946" s="3" t="s">
        <v>12</v>
      </c>
      <c r="D1946" s="4">
        <v>847.2</v>
      </c>
      <c r="E1946" s="4">
        <v>90</v>
      </c>
      <c r="F1946" s="8">
        <v>0.89</v>
      </c>
      <c r="H1946" s="11"/>
      <c r="I1946" s="11"/>
      <c r="J1946" s="11"/>
    </row>
    <row r="1947" spans="1:10" ht="15.75" x14ac:dyDescent="0.3">
      <c r="A1947" s="13" t="str">
        <f>HYPERLINK("https://parts-sales.ru/parts/MAN/65254350005","65.25435-0005")</f>
        <v>65.25435-0005</v>
      </c>
      <c r="B1947" s="13" t="str">
        <f>HYPERLINK("https://parts-sales.ru/parts/MAN/65254350005","Кожух")</f>
        <v>Кожух</v>
      </c>
      <c r="C1947" s="5" t="s">
        <v>12</v>
      </c>
      <c r="D1947" s="6">
        <v>612</v>
      </c>
      <c r="E1947" s="6">
        <v>16</v>
      </c>
      <c r="F1947" s="9">
        <v>0.97</v>
      </c>
      <c r="H1947" s="11"/>
      <c r="I1947" s="11"/>
      <c r="J1947" s="11"/>
    </row>
    <row r="1948" spans="1:10" ht="15.75" x14ac:dyDescent="0.3">
      <c r="A1948" s="12" t="str">
        <f>HYPERLINK("https://parts-sales.ru/parts/MAN/81259356907","81.25935-6907")</f>
        <v>81.25935-6907</v>
      </c>
      <c r="B1948" s="12" t="str">
        <f>HYPERLINK("https://parts-sales.ru/parts/MAN/81259356907","Прибор управления")</f>
        <v>Прибор управления</v>
      </c>
      <c r="C1948" s="3" t="s">
        <v>12</v>
      </c>
      <c r="D1948" s="4">
        <v>221697.25</v>
      </c>
      <c r="E1948" s="4">
        <v>92761</v>
      </c>
      <c r="F1948" s="8">
        <v>0.57999999999999996</v>
      </c>
      <c r="H1948" s="11"/>
      <c r="I1948" s="11"/>
      <c r="J1948" s="11"/>
    </row>
    <row r="1949" spans="1:10" ht="15.75" x14ac:dyDescent="0.3">
      <c r="A1949" s="13" t="str">
        <f>HYPERLINK("https://parts-sales.ru/parts/MAN/81251016578","81.25101-6578")</f>
        <v>81.25101-6578</v>
      </c>
      <c r="B1949" s="13" t="str">
        <f>HYPERLINK("https://parts-sales.ru/parts/MAN/81251016578","Фара левая сторона")</f>
        <v>Фара левая сторона</v>
      </c>
      <c r="C1949" s="5" t="s">
        <v>13</v>
      </c>
      <c r="D1949" s="6">
        <v>57747.6</v>
      </c>
      <c r="E1949" s="6">
        <v>17284</v>
      </c>
      <c r="F1949" s="9">
        <v>0.7</v>
      </c>
      <c r="H1949" s="11"/>
      <c r="I1949" s="11"/>
      <c r="J1949" s="11"/>
    </row>
    <row r="1950" spans="1:10" ht="15.75" x14ac:dyDescent="0.3">
      <c r="A1950" s="12" t="str">
        <f>HYPERLINK("https://parts-sales.ru/parts/MAN/81251016580","81.25101-6580")</f>
        <v>81.25101-6580</v>
      </c>
      <c r="B1950" s="12" t="str">
        <f>HYPERLINK("https://parts-sales.ru/parts/MAN/81251016580","Фара левая сторона")</f>
        <v>Фара левая сторона</v>
      </c>
      <c r="C1950" s="3" t="s">
        <v>13</v>
      </c>
      <c r="D1950" s="4">
        <v>64300.800000000003</v>
      </c>
      <c r="E1950" s="4">
        <v>23711</v>
      </c>
      <c r="F1950" s="8">
        <v>0.63</v>
      </c>
      <c r="H1950" s="11"/>
      <c r="I1950" s="11"/>
      <c r="J1950" s="11"/>
    </row>
    <row r="1951" spans="1:10" ht="15.75" x14ac:dyDescent="0.3">
      <c r="A1951" s="13" t="str">
        <f>HYPERLINK("https://parts-sales.ru/parts/MAN/81251016595","81.25101-6595")</f>
        <v>81.25101-6595</v>
      </c>
      <c r="B1951" s="13" t="str">
        <f>HYPERLINK("https://parts-sales.ru/parts/MAN/81251016595","Фара правая сторона")</f>
        <v>Фара правая сторона</v>
      </c>
      <c r="C1951" s="5" t="s">
        <v>13</v>
      </c>
      <c r="D1951" s="6">
        <v>69147.600000000006</v>
      </c>
      <c r="E1951" s="6">
        <v>11045</v>
      </c>
      <c r="F1951" s="9">
        <v>0.84</v>
      </c>
      <c r="H1951" s="11"/>
      <c r="I1951" s="11"/>
      <c r="J1951" s="11"/>
    </row>
    <row r="1952" spans="1:10" ht="15.75" x14ac:dyDescent="0.3">
      <c r="A1952" s="12" t="str">
        <f>HYPERLINK("https://parts-sales.ru/parts/MAN/81251016761","81.25101-6761")</f>
        <v>81.25101-6761</v>
      </c>
      <c r="B1952" s="12" t="str">
        <f>HYPERLINK("https://parts-sales.ru/parts/MAN/81251016761","Фара левая сторона")</f>
        <v>Фара левая сторона</v>
      </c>
      <c r="C1952" s="3" t="s">
        <v>13</v>
      </c>
      <c r="D1952" s="4">
        <v>134565.6</v>
      </c>
      <c r="E1952" s="4">
        <v>90037</v>
      </c>
      <c r="F1952" s="8">
        <v>0.33</v>
      </c>
      <c r="H1952" s="11"/>
      <c r="I1952" s="11"/>
      <c r="J1952" s="11"/>
    </row>
    <row r="1953" spans="1:10" ht="15.75" x14ac:dyDescent="0.3">
      <c r="A1953" s="13" t="str">
        <f>HYPERLINK("https://parts-sales.ru/parts/MAN/81251016805","81.25101-6805")</f>
        <v>81.25101-6805</v>
      </c>
      <c r="B1953" s="13" t="str">
        <f>HYPERLINK("https://parts-sales.ru/parts/MAN/81251016805","Светодиодная фара Регулятор угла наклона")</f>
        <v>Светодиодная фара Регулятор угла наклона</v>
      </c>
      <c r="C1953" s="5" t="s">
        <v>13</v>
      </c>
      <c r="D1953" s="6">
        <v>176731.2</v>
      </c>
      <c r="E1953" s="6">
        <v>59992</v>
      </c>
      <c r="F1953" s="9">
        <v>0.66</v>
      </c>
      <c r="H1953" s="11"/>
      <c r="I1953" s="11"/>
      <c r="J1953" s="11"/>
    </row>
    <row r="1954" spans="1:10" ht="15.75" x14ac:dyDescent="0.3">
      <c r="A1954" s="12" t="str">
        <f>HYPERLINK("https://parts-sales.ru/parts/MAN/81251016806","81.25101-6806")</f>
        <v>81.25101-6806</v>
      </c>
      <c r="B1954" s="12" t="str">
        <f>HYPERLINK("https://parts-sales.ru/parts/MAN/81251016806","Светодиодная фара Регулятор угла наклона")</f>
        <v>Светодиодная фара Регулятор угла наклона</v>
      </c>
      <c r="C1954" s="3" t="s">
        <v>13</v>
      </c>
      <c r="D1954" s="4">
        <v>88262.04</v>
      </c>
      <c r="E1954" s="4">
        <v>53068</v>
      </c>
      <c r="F1954" s="8">
        <v>0.4</v>
      </c>
      <c r="H1954" s="11"/>
      <c r="I1954" s="11"/>
      <c r="J1954" s="11"/>
    </row>
    <row r="1955" spans="1:10" ht="15.75" x14ac:dyDescent="0.3">
      <c r="A1955" s="13" t="str">
        <f>HYPERLINK("https://parts-sales.ru/parts/MAN/81251036068","81.25103-6068")</f>
        <v>81.25103-6068</v>
      </c>
      <c r="B1955" s="13" t="str">
        <f>HYPERLINK("https://parts-sales.ru/parts/MAN/81251036068","Рабочая фара")</f>
        <v>Рабочая фара</v>
      </c>
      <c r="C1955" s="5" t="s">
        <v>13</v>
      </c>
      <c r="D1955" s="6">
        <v>10650</v>
      </c>
      <c r="E1955" s="6">
        <v>3069</v>
      </c>
      <c r="F1955" s="9">
        <v>0.71</v>
      </c>
      <c r="H1955" s="11"/>
      <c r="I1955" s="11"/>
      <c r="J1955" s="11"/>
    </row>
    <row r="1956" spans="1:10" ht="15.75" x14ac:dyDescent="0.3">
      <c r="A1956" s="12" t="str">
        <f>HYPERLINK("https://parts-sales.ru/parts/MAN/81251100080","81.25110-0080")</f>
        <v>81.25110-0080</v>
      </c>
      <c r="B1956" s="12" t="str">
        <f>HYPERLINK("https://parts-sales.ru/parts/MAN/81251100080","СТЕКЛО ФАРЫ (СЛЕВА) для фар")</f>
        <v>СТЕКЛО ФАРЫ (СЛЕВА) для фар</v>
      </c>
      <c r="C1956" s="3" t="s">
        <v>13</v>
      </c>
      <c r="D1956" s="4">
        <v>21196.799999999999</v>
      </c>
      <c r="E1956" s="4">
        <v>4147</v>
      </c>
      <c r="F1956" s="8">
        <v>0.8</v>
      </c>
      <c r="H1956" s="11"/>
      <c r="I1956" s="11"/>
      <c r="J1956" s="11"/>
    </row>
    <row r="1957" spans="1:10" ht="15.75" x14ac:dyDescent="0.3">
      <c r="A1957" s="13" t="str">
        <f>HYPERLINK("https://parts-sales.ru/parts/MAN/81251100081","81.25110-0081")</f>
        <v>81.25110-0081</v>
      </c>
      <c r="B1957" s="13" t="str">
        <f>HYPERLINK("https://parts-sales.ru/parts/MAN/81251100081","СТЕКЛО ФАРЫ (СЛЕВА) для фар")</f>
        <v>СТЕКЛО ФАРЫ (СЛЕВА) для фар</v>
      </c>
      <c r="C1957" s="5" t="s">
        <v>13</v>
      </c>
      <c r="D1957" s="6">
        <v>21130.799999999999</v>
      </c>
      <c r="E1957" s="6">
        <v>4146</v>
      </c>
      <c r="F1957" s="9">
        <v>0.8</v>
      </c>
      <c r="H1957" s="11"/>
      <c r="I1957" s="11"/>
      <c r="J1957" s="11"/>
    </row>
    <row r="1958" spans="1:10" ht="15.75" x14ac:dyDescent="0.3">
      <c r="A1958" s="12" t="str">
        <f>HYPERLINK("https://parts-sales.ru/parts/MAN/81251100083","81.25110-0083")</f>
        <v>81.25110-0083</v>
      </c>
      <c r="B1958" s="12" t="str">
        <f>HYPERLINK("https://parts-sales.ru/parts/MAN/81251100083","СТЕКЛО ФАРЫ (СЛЕВА) Фара")</f>
        <v>СТЕКЛО ФАРЫ (СЛЕВА) Фара</v>
      </c>
      <c r="C1958" s="3" t="s">
        <v>13</v>
      </c>
      <c r="D1958" s="4">
        <v>27622.799999999999</v>
      </c>
      <c r="E1958" s="4">
        <v>9504</v>
      </c>
      <c r="F1958" s="8">
        <v>0.66</v>
      </c>
      <c r="H1958" s="11"/>
      <c r="I1958" s="11"/>
      <c r="J1958" s="11"/>
    </row>
    <row r="1959" spans="1:10" ht="15.75" x14ac:dyDescent="0.3">
      <c r="A1959" s="13" t="str">
        <f>HYPERLINK("https://parts-sales.ru/parts/MAN/81251100084","81.25110-0084")</f>
        <v>81.25110-0084</v>
      </c>
      <c r="B1959" s="13" t="str">
        <f>HYPERLINK("https://parts-sales.ru/parts/MAN/81251100084","СТЕКЛО ФАРЫ (СЛЕВА) Фара")</f>
        <v>СТЕКЛО ФАРЫ (СЛЕВА) Фара</v>
      </c>
      <c r="C1959" s="5" t="s">
        <v>13</v>
      </c>
      <c r="D1959" s="6">
        <v>24656.400000000001</v>
      </c>
      <c r="E1959" s="6">
        <v>9725</v>
      </c>
      <c r="F1959" s="9">
        <v>0.61</v>
      </c>
      <c r="H1959" s="11"/>
      <c r="I1959" s="11"/>
      <c r="J1959" s="11"/>
    </row>
    <row r="1960" spans="1:10" ht="15.75" x14ac:dyDescent="0.3">
      <c r="A1960" s="12" t="str">
        <f>HYPERLINK("https://parts-sales.ru/parts/MAN/81251100089","81.25110-0089")</f>
        <v>81.25110-0089</v>
      </c>
      <c r="B1960" s="12" t="str">
        <f>HYPERLINK("https://parts-sales.ru/parts/MAN/81251100089","СТЕКЛО ФАРЫ (СЛЕВА) Дополнительная фара")</f>
        <v>СТЕКЛО ФАРЫ (СЛЕВА) Дополнительная фара</v>
      </c>
      <c r="C1960" s="3" t="s">
        <v>13</v>
      </c>
      <c r="D1960" s="4">
        <v>13759.2</v>
      </c>
      <c r="E1960" s="4">
        <v>6859</v>
      </c>
      <c r="F1960" s="8">
        <v>0.5</v>
      </c>
      <c r="H1960" s="11"/>
      <c r="I1960" s="11"/>
      <c r="J1960" s="11"/>
    </row>
    <row r="1961" spans="1:10" ht="15.75" x14ac:dyDescent="0.3">
      <c r="A1961" s="13" t="str">
        <f>HYPERLINK("https://parts-sales.ru/parts/MAN/81251100090","81.25110-0090")</f>
        <v>81.25110-0090</v>
      </c>
      <c r="B1961" s="13" t="str">
        <f>HYPERLINK("https://parts-sales.ru/parts/MAN/81251100090","СТЕКЛО ФАРЫ (СЛЕВА) Дополнительная фара")</f>
        <v>СТЕКЛО ФАРЫ (СЛЕВА) Дополнительная фара</v>
      </c>
      <c r="C1961" s="5" t="s">
        <v>13</v>
      </c>
      <c r="D1961" s="6">
        <v>12416.94</v>
      </c>
      <c r="E1961" s="6">
        <v>5766</v>
      </c>
      <c r="F1961" s="9">
        <v>0.54</v>
      </c>
      <c r="H1961" s="11"/>
      <c r="I1961" s="11"/>
      <c r="J1961" s="11"/>
    </row>
    <row r="1962" spans="1:10" ht="15.75" x14ac:dyDescent="0.3">
      <c r="A1962" s="12" t="str">
        <f>HYPERLINK("https://parts-sales.ru/parts/MAN/81251400139","81.25140-0139")</f>
        <v>81.25140-0139</v>
      </c>
      <c r="B1962" s="12" t="str">
        <f>HYPERLINK("https://parts-sales.ru/parts/MAN/81251400139","Крепление фар")</f>
        <v>Крепление фар</v>
      </c>
      <c r="C1962" s="3" t="s">
        <v>13</v>
      </c>
      <c r="D1962" s="4">
        <v>1093.1400000000001</v>
      </c>
      <c r="E1962" s="4">
        <v>727</v>
      </c>
      <c r="F1962" s="8">
        <v>0.33</v>
      </c>
      <c r="H1962" s="11"/>
      <c r="I1962" s="11"/>
      <c r="J1962" s="11"/>
    </row>
    <row r="1963" spans="1:10" ht="15.75" x14ac:dyDescent="0.3">
      <c r="A1963" s="13" t="str">
        <f>HYPERLINK("https://parts-sales.ru/parts/MAN/81251400154","81.25140-0154")</f>
        <v>81.25140-0154</v>
      </c>
      <c r="B1963" s="13" t="str">
        <f>HYPERLINK("https://parts-sales.ru/parts/MAN/81251400154","Держатель Рабочая фара")</f>
        <v>Держатель Рабочая фара</v>
      </c>
      <c r="C1963" s="5" t="s">
        <v>13</v>
      </c>
      <c r="D1963" s="6">
        <v>5798.4</v>
      </c>
      <c r="E1963" s="6">
        <v>640</v>
      </c>
      <c r="F1963" s="9">
        <v>0.89</v>
      </c>
      <c r="H1963" s="11"/>
      <c r="I1963" s="11"/>
      <c r="J1963" s="11"/>
    </row>
    <row r="1964" spans="1:10" ht="15.75" x14ac:dyDescent="0.3">
      <c r="A1964" s="12" t="str">
        <f>HYPERLINK("https://parts-sales.ru/parts/MAN/81252016275","81.25201-6275")</f>
        <v>81.25201-6275</v>
      </c>
      <c r="B1964" s="12" t="str">
        <f>HYPERLINK("https://parts-sales.ru/parts/MAN/81252016275","Внутренний светильник")</f>
        <v>Внутренний светильник</v>
      </c>
      <c r="C1964" s="3" t="s">
        <v>13</v>
      </c>
      <c r="D1964" s="4">
        <v>10197.6</v>
      </c>
      <c r="E1964" s="4">
        <v>2400</v>
      </c>
      <c r="F1964" s="8">
        <v>0.76</v>
      </c>
      <c r="H1964" s="11"/>
      <c r="I1964" s="11"/>
      <c r="J1964" s="11"/>
    </row>
    <row r="1965" spans="1:10" ht="15.75" x14ac:dyDescent="0.3">
      <c r="A1965" s="13" t="str">
        <f>HYPERLINK("https://parts-sales.ru/parts/MAN/81252016290","81.25201-6290")</f>
        <v>81.25201-6290</v>
      </c>
      <c r="B1965" s="13" t="str">
        <f>HYPERLINK("https://parts-sales.ru/parts/MAN/81252016290","Внутренний светильник")</f>
        <v>Внутренний светильник</v>
      </c>
      <c r="C1965" s="5" t="s">
        <v>13</v>
      </c>
      <c r="D1965" s="6">
        <v>9806.4</v>
      </c>
      <c r="E1965" s="6">
        <v>2261</v>
      </c>
      <c r="F1965" s="9">
        <v>0.77</v>
      </c>
      <c r="H1965" s="11"/>
      <c r="I1965" s="11"/>
      <c r="J1965" s="11"/>
    </row>
    <row r="1966" spans="1:10" ht="15.75" x14ac:dyDescent="0.3">
      <c r="A1966" s="12" t="str">
        <f>HYPERLINK("https://parts-sales.ru/parts/MAN/81252016299","81.25201-6299")</f>
        <v>81.25201-6299</v>
      </c>
      <c r="B1966" s="12" t="str">
        <f>HYPERLINK("https://parts-sales.ru/parts/MAN/81252016299","Потолочный светильник лампы накаливания")</f>
        <v>Потолочный светильник лампы накаливания</v>
      </c>
      <c r="C1966" s="3" t="s">
        <v>13</v>
      </c>
      <c r="D1966" s="4">
        <v>3976.8</v>
      </c>
      <c r="E1966" s="4">
        <v>815</v>
      </c>
      <c r="F1966" s="8">
        <v>0.8</v>
      </c>
      <c r="H1966" s="11"/>
      <c r="I1966" s="11"/>
      <c r="J1966" s="11"/>
    </row>
    <row r="1967" spans="1:10" ht="15.75" x14ac:dyDescent="0.3">
      <c r="A1967" s="13" t="str">
        <f>HYPERLINK("https://parts-sales.ru/parts/MAN/81252070005","81.25207-0005")</f>
        <v>81.25207-0005</v>
      </c>
      <c r="B1967" s="13" t="str">
        <f>HYPERLINK("https://parts-sales.ru/parts/MAN/81252070005","Цоколь F99 L/R10,12,37,41")</f>
        <v>Цоколь F99 L/R10,12,37,41</v>
      </c>
      <c r="C1967" s="5" t="s">
        <v>13</v>
      </c>
      <c r="D1967" s="6">
        <v>2630.4</v>
      </c>
      <c r="E1967" s="6">
        <v>387</v>
      </c>
      <c r="F1967" s="9">
        <v>0.85</v>
      </c>
      <c r="H1967" s="11"/>
      <c r="I1967" s="11"/>
      <c r="J1967" s="11"/>
    </row>
    <row r="1968" spans="1:10" ht="15.75" x14ac:dyDescent="0.3">
      <c r="A1968" s="12" t="str">
        <f>HYPERLINK("https://parts-sales.ru/parts/MAN/81252070016","81.25207-0016")</f>
        <v>81.25207-0016</v>
      </c>
      <c r="B1968" s="12" t="str">
        <f>HYPERLINK("https://parts-sales.ru/parts/MAN/81252070016","Цоколь Светильник круг. обзора")</f>
        <v>Цоколь Светильник круг. обзора</v>
      </c>
      <c r="C1968" s="3" t="s">
        <v>13</v>
      </c>
      <c r="D1968" s="4">
        <v>3015.6</v>
      </c>
      <c r="E1968" s="4">
        <v>961</v>
      </c>
      <c r="F1968" s="8">
        <v>0.68</v>
      </c>
      <c r="H1968" s="11"/>
      <c r="I1968" s="11"/>
      <c r="J1968" s="11"/>
    </row>
    <row r="1969" spans="1:10" ht="15.75" x14ac:dyDescent="0.3">
      <c r="A1969" s="13" t="str">
        <f>HYPERLINK("https://parts-sales.ru/parts/MAN/81252070017","81.25207-0017")</f>
        <v>81.25207-0017</v>
      </c>
      <c r="B1969" s="13" t="str">
        <f>HYPERLINK("https://parts-sales.ru/parts/MAN/81252070017","Цоколь Светильник круг. обзора")</f>
        <v>Цоколь Светильник круг. обзора</v>
      </c>
      <c r="C1969" s="5" t="s">
        <v>13</v>
      </c>
      <c r="D1969" s="6">
        <v>3015.6</v>
      </c>
      <c r="E1969" s="6">
        <v>868</v>
      </c>
      <c r="F1969" s="9">
        <v>0.71</v>
      </c>
      <c r="H1969" s="11"/>
      <c r="I1969" s="11"/>
      <c r="J1969" s="11"/>
    </row>
    <row r="1970" spans="1:10" ht="15.75" x14ac:dyDescent="0.3">
      <c r="A1970" s="12" t="str">
        <f>HYPERLINK("https://parts-sales.ru/parts/MAN/81252076074","81.25207-6074")</f>
        <v>81.25207-6074</v>
      </c>
      <c r="B1970" s="12" t="str">
        <f>HYPERLINK("https://parts-sales.ru/parts/MAN/81252076074","Светильник круг. обзора световой диод")</f>
        <v>Светильник круг. обзора световой диод</v>
      </c>
      <c r="C1970" s="3" t="s">
        <v>13</v>
      </c>
      <c r="D1970" s="4">
        <v>19069.23</v>
      </c>
      <c r="E1970" s="4">
        <v>11366</v>
      </c>
      <c r="F1970" s="8">
        <v>0.4</v>
      </c>
      <c r="H1970" s="11"/>
      <c r="I1970" s="11"/>
      <c r="J1970" s="11"/>
    </row>
    <row r="1971" spans="1:10" ht="15.75" x14ac:dyDescent="0.3">
      <c r="A1971" s="13" t="str">
        <f>HYPERLINK("https://parts-sales.ru/parts/MAN/81252090013","81.25209-0013")</f>
        <v>81.25209-0013</v>
      </c>
      <c r="B1971" s="13" t="str">
        <f>HYPERLINK("https://parts-sales.ru/parts/MAN/81252090013","Кожух")</f>
        <v>Кожух</v>
      </c>
      <c r="C1971" s="5" t="s">
        <v>13</v>
      </c>
      <c r="D1971" s="6">
        <v>435.6</v>
      </c>
      <c r="E1971" s="6">
        <v>21</v>
      </c>
      <c r="F1971" s="9">
        <v>0.95</v>
      </c>
      <c r="H1971" s="11"/>
      <c r="I1971" s="11"/>
      <c r="J1971" s="11"/>
    </row>
    <row r="1972" spans="1:10" ht="15.75" x14ac:dyDescent="0.3">
      <c r="A1972" s="12" t="str">
        <f>HYPERLINK("https://parts-sales.ru/parts/MAN/81252096008","81.25209-6008")</f>
        <v>81.25209-6008</v>
      </c>
      <c r="B1972" s="12" t="str">
        <f>HYPERLINK("https://parts-sales.ru/parts/MAN/81252096008","Защитный сепаратор")</f>
        <v>Защитный сепаратор</v>
      </c>
      <c r="C1972" s="3" t="s">
        <v>13</v>
      </c>
      <c r="D1972" s="4">
        <v>6237.6</v>
      </c>
      <c r="E1972" s="4">
        <v>2649</v>
      </c>
      <c r="F1972" s="8">
        <v>0.57999999999999996</v>
      </c>
      <c r="H1972" s="11"/>
      <c r="I1972" s="11"/>
      <c r="J1972" s="11"/>
    </row>
    <row r="1973" spans="1:10" ht="15.75" x14ac:dyDescent="0.3">
      <c r="A1973" s="13" t="str">
        <f>HYPERLINK("https://parts-sales.ru/parts/MAN/81252256523","81.25225-6523")</f>
        <v>81.25225-6523</v>
      </c>
      <c r="B1973" s="13" t="str">
        <f>HYPERLINK("https://parts-sales.ru/parts/MAN/81252256523","Фонарь заднего света")</f>
        <v>Фонарь заднего света</v>
      </c>
      <c r="C1973" s="5" t="s">
        <v>13</v>
      </c>
      <c r="D1973" s="6">
        <v>18388.8</v>
      </c>
      <c r="E1973" s="6">
        <v>2646</v>
      </c>
      <c r="F1973" s="9">
        <v>0.86</v>
      </c>
      <c r="H1973" s="11"/>
      <c r="I1973" s="11"/>
      <c r="J1973" s="11"/>
    </row>
    <row r="1974" spans="1:10" ht="15.75" x14ac:dyDescent="0.3">
      <c r="A1974" s="12" t="str">
        <f>HYPERLINK("https://parts-sales.ru/parts/MAN/81252286034","81.25228-6034")</f>
        <v>81.25228-6034</v>
      </c>
      <c r="B1974" s="12" t="str">
        <f>HYPERLINK("https://parts-sales.ru/parts/MAN/81252286034","Фонарь заднего света Фонарь освещения но")</f>
        <v>Фонарь заднего света Фонарь освещения но</v>
      </c>
      <c r="C1974" s="3" t="s">
        <v>13</v>
      </c>
      <c r="D1974" s="4">
        <v>21296.400000000001</v>
      </c>
      <c r="E1974" s="4">
        <v>4463</v>
      </c>
      <c r="F1974" s="8">
        <v>0.79</v>
      </c>
      <c r="H1974" s="11"/>
      <c r="I1974" s="11"/>
      <c r="J1974" s="11"/>
    </row>
    <row r="1975" spans="1:10" ht="15.75" x14ac:dyDescent="0.3">
      <c r="A1975" s="13" t="str">
        <f>HYPERLINK("https://parts-sales.ru/parts/MAN/81252296060","81.25229-6060")</f>
        <v>81.25229-6060</v>
      </c>
      <c r="B1975" s="13" t="str">
        <f>HYPERLINK("https://parts-sales.ru/parts/MAN/81252296060","СТЕКЛО ЗАДНЕГО ФОНАРЯ (СЛЕВА)")</f>
        <v>СТЕКЛО ЗАДНЕГО ФОНАРЯ (СЛЕВА)</v>
      </c>
      <c r="C1975" s="5" t="s">
        <v>13</v>
      </c>
      <c r="D1975" s="6">
        <v>9746.4</v>
      </c>
      <c r="E1975" s="6">
        <v>4340</v>
      </c>
      <c r="F1975" s="9">
        <v>0.55000000000000004</v>
      </c>
      <c r="H1975" s="11"/>
      <c r="I1975" s="11"/>
      <c r="J1975" s="11"/>
    </row>
    <row r="1976" spans="1:10" ht="15.75" x14ac:dyDescent="0.3">
      <c r="A1976" s="12" t="str">
        <f>HYPERLINK("https://parts-sales.ru/parts/MAN/81252300031","81.25230-0031")</f>
        <v>81.25230-0031</v>
      </c>
      <c r="B1976" s="12" t="str">
        <f>HYPERLINK("https://parts-sales.ru/parts/MAN/81252300031","СТЕКЛО ЗАДНЕГО ФОНАРЯ (СЛЕВА)")</f>
        <v>СТЕКЛО ЗАДНЕГО ФОНАРЯ (СЛЕВА)</v>
      </c>
      <c r="C1976" s="3" t="s">
        <v>13</v>
      </c>
      <c r="D1976" s="4">
        <v>17244</v>
      </c>
      <c r="E1976" s="4">
        <v>9020</v>
      </c>
      <c r="F1976" s="8">
        <v>0.48</v>
      </c>
      <c r="H1976" s="11"/>
      <c r="I1976" s="11"/>
      <c r="J1976" s="11"/>
    </row>
    <row r="1977" spans="1:10" ht="15.75" x14ac:dyDescent="0.3">
      <c r="A1977" s="13" t="str">
        <f>HYPERLINK("https://parts-sales.ru/parts/MAN/81252310054","81.25231-0054")</f>
        <v>81.25231-0054</v>
      </c>
      <c r="B1977" s="13" t="str">
        <f>HYPERLINK("https://parts-sales.ru/parts/MAN/81252310054","Наконечник 5,8X5-6,8X24-EPDM1-70")</f>
        <v>Наконечник 5,8X5-6,8X24-EPDM1-70</v>
      </c>
      <c r="C1977" s="5" t="s">
        <v>13</v>
      </c>
      <c r="D1977" s="6">
        <v>504</v>
      </c>
      <c r="E1977" s="6">
        <v>115</v>
      </c>
      <c r="F1977" s="9">
        <v>0.77</v>
      </c>
      <c r="H1977" s="11"/>
      <c r="I1977" s="11"/>
      <c r="J1977" s="11"/>
    </row>
    <row r="1978" spans="1:10" ht="15.75" x14ac:dyDescent="0.3">
      <c r="A1978" s="12" t="str">
        <f>HYPERLINK("https://parts-sales.ru/parts/MAN/81252386013","81.25238-6013")</f>
        <v>81.25238-6013</v>
      </c>
      <c r="B1978" s="12" t="str">
        <f>HYPERLINK("https://parts-sales.ru/parts/MAN/81252386013","Электромотор")</f>
        <v>Электромотор</v>
      </c>
      <c r="C1978" s="3" t="s">
        <v>13</v>
      </c>
      <c r="D1978" s="4">
        <v>11156.4</v>
      </c>
      <c r="E1978" s="4">
        <v>1715</v>
      </c>
      <c r="F1978" s="8">
        <v>0.85</v>
      </c>
      <c r="H1978" s="11"/>
      <c r="I1978" s="11"/>
      <c r="J1978" s="11"/>
    </row>
    <row r="1979" spans="1:10" ht="15.75" x14ac:dyDescent="0.3">
      <c r="A1979" s="13" t="str">
        <f>HYPERLINK("https://parts-sales.ru/parts/MAN/81252450144","81.25245-0144")</f>
        <v>81.25245-0144</v>
      </c>
      <c r="B1979" s="13" t="str">
        <f>HYPERLINK("https://parts-sales.ru/parts/MAN/81252450144","Держатель")</f>
        <v>Держатель</v>
      </c>
      <c r="C1979" s="5" t="s">
        <v>13</v>
      </c>
      <c r="D1979" s="6">
        <v>897.6</v>
      </c>
      <c r="E1979" s="6">
        <v>404</v>
      </c>
      <c r="F1979" s="9">
        <v>0.55000000000000004</v>
      </c>
      <c r="H1979" s="11"/>
      <c r="I1979" s="11"/>
      <c r="J1979" s="11"/>
    </row>
    <row r="1980" spans="1:10" ht="15.75" x14ac:dyDescent="0.3">
      <c r="A1980" s="12" t="str">
        <f>HYPERLINK("https://parts-sales.ru/parts/MAN/81252606151","81.25260-6151")</f>
        <v>81.25260-6151</v>
      </c>
      <c r="B1980" s="12" t="str">
        <f>HYPERLINK("https://parts-sales.ru/parts/MAN/81252606151","Габаритный фонарь 1500 MM")</f>
        <v>Габаритный фонарь 1500 MM</v>
      </c>
      <c r="C1980" s="3" t="s">
        <v>13</v>
      </c>
      <c r="D1980" s="4">
        <v>7930.8</v>
      </c>
      <c r="E1980" s="4">
        <v>1909</v>
      </c>
      <c r="F1980" s="8">
        <v>0.76</v>
      </c>
      <c r="H1980" s="11"/>
      <c r="I1980" s="11"/>
      <c r="J1980" s="11"/>
    </row>
    <row r="1981" spans="1:10" ht="15.75" x14ac:dyDescent="0.3">
      <c r="A1981" s="13" t="str">
        <f>HYPERLINK("https://parts-sales.ru/parts/MAN/81252606152","81.25260-6152")</f>
        <v>81.25260-6152</v>
      </c>
      <c r="B1981" s="13" t="str">
        <f>HYPERLINK("https://parts-sales.ru/parts/MAN/81252606152","Габаритный фонарь 800 MM")</f>
        <v>Габаритный фонарь 800 MM</v>
      </c>
      <c r="C1981" s="5" t="s">
        <v>13</v>
      </c>
      <c r="D1981" s="6">
        <v>1860.61</v>
      </c>
      <c r="E1981" s="6">
        <v>1236</v>
      </c>
      <c r="F1981" s="9">
        <v>0.34</v>
      </c>
      <c r="H1981" s="11"/>
      <c r="I1981" s="11"/>
      <c r="J1981" s="11"/>
    </row>
    <row r="1982" spans="1:10" ht="15.75" x14ac:dyDescent="0.3">
      <c r="A1982" s="12" t="str">
        <f>HYPERLINK("https://parts-sales.ru/parts/MAN/81253206090","81.25320-6090")</f>
        <v>81.25320-6090</v>
      </c>
      <c r="B1982" s="12" t="str">
        <f>HYPERLINK("https://parts-sales.ru/parts/MAN/81253206090","Дополнительная фара")</f>
        <v>Дополнительная фара</v>
      </c>
      <c r="C1982" s="3" t="s">
        <v>13</v>
      </c>
      <c r="D1982" s="4">
        <v>17037.599999999999</v>
      </c>
      <c r="E1982" s="4">
        <v>4422</v>
      </c>
      <c r="F1982" s="8">
        <v>0.74</v>
      </c>
      <c r="H1982" s="11"/>
      <c r="I1982" s="11"/>
      <c r="J1982" s="11"/>
    </row>
    <row r="1983" spans="1:10" ht="15.75" x14ac:dyDescent="0.3">
      <c r="A1983" s="13" t="str">
        <f>HYPERLINK("https://parts-sales.ru/parts/MAN/81253206117","81.25320-6117")</f>
        <v>81.25320-6117</v>
      </c>
      <c r="B1983" s="13" t="str">
        <f>HYPERLINK("https://parts-sales.ru/parts/MAN/81253206117","Указатель поворота желтый")</f>
        <v>Указатель поворота желтый</v>
      </c>
      <c r="C1983" s="5" t="s">
        <v>13</v>
      </c>
      <c r="D1983" s="6">
        <v>6242.4</v>
      </c>
      <c r="E1983" s="6">
        <v>1248</v>
      </c>
      <c r="F1983" s="9">
        <v>0.8</v>
      </c>
      <c r="H1983" s="11"/>
      <c r="I1983" s="11"/>
      <c r="J1983" s="11"/>
    </row>
    <row r="1984" spans="1:10" ht="15.75" x14ac:dyDescent="0.3">
      <c r="A1984" s="12" t="str">
        <f>HYPERLINK("https://parts-sales.ru/parts/MAN/81254055036","81.25405-5036")</f>
        <v>81.25405-5036</v>
      </c>
      <c r="B1984" s="12" t="str">
        <f>HYPERLINK("https://parts-sales.ru/parts/MAN/81254055036","Электропроводка 70X3100-10-+")</f>
        <v>Электропроводка 70X3100-10-+</v>
      </c>
      <c r="C1984" s="3" t="s">
        <v>8</v>
      </c>
      <c r="D1984" s="4">
        <v>40344</v>
      </c>
      <c r="E1984" s="4">
        <v>11746</v>
      </c>
      <c r="F1984" s="8">
        <v>0.71</v>
      </c>
      <c r="H1984" s="11"/>
      <c r="I1984" s="11"/>
      <c r="J1984" s="11"/>
    </row>
    <row r="1985" spans="1:10" ht="15.75" x14ac:dyDescent="0.3">
      <c r="A1985" s="13" t="str">
        <f>HYPERLINK("https://parts-sales.ru/parts/MAN/81254056038","81.25405-6038")</f>
        <v>81.25405-6038</v>
      </c>
      <c r="B1985" s="13" t="str">
        <f>HYPERLINK("https://parts-sales.ru/parts/MAN/81254056038","Электропроводка 50X600-10/10")</f>
        <v>Электропроводка 50X600-10/10</v>
      </c>
      <c r="C1985" s="5" t="s">
        <v>8</v>
      </c>
      <c r="D1985" s="6">
        <v>7566</v>
      </c>
      <c r="E1985" s="6">
        <v>386</v>
      </c>
      <c r="F1985" s="9">
        <v>0.95</v>
      </c>
      <c r="H1985" s="11"/>
      <c r="I1985" s="11"/>
      <c r="J1985" s="11"/>
    </row>
    <row r="1986" spans="1:10" ht="15.75" x14ac:dyDescent="0.3">
      <c r="A1986" s="12" t="str">
        <f>HYPERLINK("https://parts-sales.ru/parts/MAN/81254056275","81.25405-6275")</f>
        <v>81.25405-6275</v>
      </c>
      <c r="B1986" s="12" t="str">
        <f>HYPERLINK("https://parts-sales.ru/parts/MAN/81254056275","Электропроводка 70X4300-8/10")</f>
        <v>Электропроводка 70X4300-8/10</v>
      </c>
      <c r="C1986" s="3" t="s">
        <v>8</v>
      </c>
      <c r="D1986" s="4">
        <v>8067.6</v>
      </c>
      <c r="E1986" s="4">
        <v>1052</v>
      </c>
      <c r="F1986" s="8">
        <v>0.87</v>
      </c>
      <c r="H1986" s="11"/>
      <c r="I1986" s="11"/>
      <c r="J1986" s="11"/>
    </row>
    <row r="1987" spans="1:10" ht="15.75" x14ac:dyDescent="0.3">
      <c r="A1987" s="13" t="str">
        <f>HYPERLINK("https://parts-sales.ru/parts/MAN/81254116061","81.25411-6061")</f>
        <v>81.25411-6061</v>
      </c>
      <c r="B1987" s="13" t="str">
        <f>HYPERLINK("https://parts-sales.ru/parts/MAN/81254116061","Спиральный кабель 7POL ISO 7638")</f>
        <v>Спиральный кабель 7POL ISO 7638</v>
      </c>
      <c r="C1987" s="5" t="s">
        <v>8</v>
      </c>
      <c r="D1987" s="6">
        <v>22075.200000000001</v>
      </c>
      <c r="E1987" s="6">
        <v>13494</v>
      </c>
      <c r="F1987" s="9">
        <v>0.39</v>
      </c>
      <c r="H1987" s="11"/>
      <c r="I1987" s="11"/>
      <c r="J1987" s="11"/>
    </row>
    <row r="1988" spans="1:10" ht="15.75" x14ac:dyDescent="0.3">
      <c r="A1988" s="12" t="str">
        <f>HYPERLINK("https://parts-sales.ru/parts/MAN/81254116062","81.25411-6062")</f>
        <v>81.25411-6062</v>
      </c>
      <c r="B1988" s="12" t="str">
        <f>HYPERLINK("https://parts-sales.ru/parts/MAN/81254116062","Спиральный кабель 15POL ISO 12098")</f>
        <v>Спиральный кабель 15POL ISO 12098</v>
      </c>
      <c r="C1988" s="3" t="s">
        <v>8</v>
      </c>
      <c r="D1988" s="4">
        <v>33849.599999999999</v>
      </c>
      <c r="E1988" s="4">
        <v>12730</v>
      </c>
      <c r="F1988" s="8">
        <v>0.62</v>
      </c>
      <c r="H1988" s="11"/>
      <c r="I1988" s="11"/>
      <c r="J1988" s="11"/>
    </row>
    <row r="1989" spans="1:10" ht="15.75" x14ac:dyDescent="0.3">
      <c r="A1989" s="13" t="str">
        <f>HYPERLINK("https://parts-sales.ru/parts/MAN/81254200114","81.25420-0114")</f>
        <v>81.25420-0114</v>
      </c>
      <c r="B1989" s="13" t="str">
        <f>HYPERLINK("https://parts-sales.ru/parts/MAN/81254200114","Изоляция")</f>
        <v>Изоляция</v>
      </c>
      <c r="C1989" s="5" t="s">
        <v>8</v>
      </c>
      <c r="D1989" s="6">
        <v>4500</v>
      </c>
      <c r="E1989" s="6">
        <v>975</v>
      </c>
      <c r="F1989" s="9">
        <v>0.78</v>
      </c>
      <c r="H1989" s="11"/>
      <c r="I1989" s="11"/>
      <c r="J1989" s="11"/>
    </row>
    <row r="1990" spans="1:10" ht="15.75" x14ac:dyDescent="0.3">
      <c r="A1990" s="12" t="str">
        <f>HYPERLINK("https://parts-sales.ru/parts/MAN/81254240019","81.25424-0019")</f>
        <v>81.25424-0019</v>
      </c>
      <c r="B1990" s="12" t="str">
        <f>HYPERLINK("https://parts-sales.ru/parts/MAN/81254240019","Зажим")</f>
        <v>Зажим</v>
      </c>
      <c r="C1990" s="3" t="s">
        <v>8</v>
      </c>
      <c r="D1990" s="4">
        <v>1446</v>
      </c>
      <c r="E1990" s="4">
        <v>229</v>
      </c>
      <c r="F1990" s="8">
        <v>0.84</v>
      </c>
      <c r="H1990" s="11"/>
      <c r="I1990" s="11"/>
      <c r="J1990" s="11"/>
    </row>
    <row r="1991" spans="1:10" ht="15.75" x14ac:dyDescent="0.3">
      <c r="A1991" s="13" t="str">
        <f>HYPERLINK("https://parts-sales.ru/parts/MAN/81254240023","81.25424-0023")</f>
        <v>81.25424-0023</v>
      </c>
      <c r="B1991" s="13" t="str">
        <f>HYPERLINK("https://parts-sales.ru/parts/MAN/81254240023","Понижение 26-17")</f>
        <v>Понижение 26-17</v>
      </c>
      <c r="C1991" s="5" t="s">
        <v>8</v>
      </c>
      <c r="D1991" s="6">
        <v>424.8</v>
      </c>
      <c r="E1991" s="6">
        <v>5</v>
      </c>
      <c r="F1991" s="9">
        <v>0.99</v>
      </c>
      <c r="H1991" s="11"/>
      <c r="I1991" s="11"/>
      <c r="J1991" s="11"/>
    </row>
    <row r="1992" spans="1:10" ht="15.75" x14ac:dyDescent="0.3">
      <c r="A1992" s="12" t="str">
        <f>HYPERLINK("https://parts-sales.ru/parts/MAN/81254240029","81.25424-0029")</f>
        <v>81.25424-0029</v>
      </c>
      <c r="B1992" s="12" t="str">
        <f>HYPERLINK("https://parts-sales.ru/parts/MAN/81254240029","Кабельная шахта Нижняя часть")</f>
        <v>Кабельная шахта Нижняя часть</v>
      </c>
      <c r="C1992" s="3" t="s">
        <v>8</v>
      </c>
      <c r="D1992" s="4">
        <v>29877.599999999999</v>
      </c>
      <c r="E1992" s="4">
        <v>6394</v>
      </c>
      <c r="F1992" s="8">
        <v>0.79</v>
      </c>
      <c r="H1992" s="11"/>
      <c r="I1992" s="11"/>
      <c r="J1992" s="11"/>
    </row>
    <row r="1993" spans="1:10" ht="15.75" x14ac:dyDescent="0.3">
      <c r="A1993" s="13" t="str">
        <f>HYPERLINK("https://parts-sales.ru/parts/MAN/81254245002","81.25424-5002")</f>
        <v>81.25424-5002</v>
      </c>
      <c r="B1993" s="13" t="str">
        <f>HYPERLINK("https://parts-sales.ru/parts/MAN/81254245002","Кабельная шахта")</f>
        <v>Кабельная шахта</v>
      </c>
      <c r="C1993" s="5" t="s">
        <v>8</v>
      </c>
      <c r="D1993" s="6">
        <v>18458.400000000001</v>
      </c>
      <c r="E1993" s="6">
        <v>6478</v>
      </c>
      <c r="F1993" s="9">
        <v>0.65</v>
      </c>
      <c r="H1993" s="11"/>
      <c r="I1993" s="11"/>
      <c r="J1993" s="11"/>
    </row>
    <row r="1994" spans="1:10" ht="15.75" x14ac:dyDescent="0.3">
      <c r="A1994" s="12" t="str">
        <f>HYPERLINK("https://parts-sales.ru/parts/MAN/81254246418","81.25424-6418")</f>
        <v>81.25424-6418</v>
      </c>
      <c r="B1994" s="12" t="str">
        <f>HYPERLINK("https://parts-sales.ru/parts/MAN/81254246418","Кабельная шахта")</f>
        <v>Кабельная шахта</v>
      </c>
      <c r="C1994" s="3" t="s">
        <v>8</v>
      </c>
      <c r="D1994" s="4">
        <v>258932.3</v>
      </c>
      <c r="E1994" s="4">
        <v>172621</v>
      </c>
      <c r="F1994" s="8">
        <v>0.33</v>
      </c>
      <c r="H1994" s="11"/>
      <c r="I1994" s="11"/>
      <c r="J1994" s="11"/>
    </row>
    <row r="1995" spans="1:10" ht="15.75" x14ac:dyDescent="0.3">
      <c r="A1995" s="13" t="str">
        <f>HYPERLINK("https://parts-sales.ru/parts/MAN/81254246441","81.25424-6441")</f>
        <v>81.25424-6441</v>
      </c>
      <c r="B1995" s="13" t="str">
        <f>HYPERLINK("https://parts-sales.ru/parts/MAN/81254246441","Кабельная шахта  D0836LOH40/41 EURO3")</f>
        <v>Кабельная шахта  D0836LOH40/41 EURO3</v>
      </c>
      <c r="C1995" s="5" t="s">
        <v>8</v>
      </c>
      <c r="D1995" s="6">
        <v>169681.2</v>
      </c>
      <c r="E1995" s="6">
        <v>51692</v>
      </c>
      <c r="F1995" s="9">
        <v>0.7</v>
      </c>
      <c r="H1995" s="11"/>
      <c r="I1995" s="11"/>
      <c r="J1995" s="11"/>
    </row>
    <row r="1996" spans="1:10" ht="15.75" x14ac:dyDescent="0.3">
      <c r="A1996" s="12" t="str">
        <f>HYPERLINK("https://parts-sales.ru/parts/MAN/81254250042","81.25425-0042")</f>
        <v>81.25425-0042</v>
      </c>
      <c r="B1996" s="12" t="str">
        <f>HYPERLINK("https://parts-sales.ru/parts/MAN/81254250042","Кожух")</f>
        <v>Кожух</v>
      </c>
      <c r="C1996" s="3" t="s">
        <v>8</v>
      </c>
      <c r="D1996" s="4">
        <v>968.4</v>
      </c>
      <c r="E1996" s="4">
        <v>227</v>
      </c>
      <c r="F1996" s="8">
        <v>0.77</v>
      </c>
      <c r="H1996" s="11"/>
      <c r="I1996" s="11"/>
      <c r="J1996" s="11"/>
    </row>
    <row r="1997" spans="1:10" ht="15.75" x14ac:dyDescent="0.3">
      <c r="A1997" s="13" t="str">
        <f>HYPERLINK("https://parts-sales.ru/parts/MAN/81254296294","81.25429-6294")</f>
        <v>81.25429-6294</v>
      </c>
      <c r="B1997" s="13" t="str">
        <f>HYPERLINK("https://parts-sales.ru/parts/MAN/81254296294","Кабельная линия 2000 MM")</f>
        <v>Кабельная линия 2000 MM</v>
      </c>
      <c r="C1997" s="5" t="s">
        <v>8</v>
      </c>
      <c r="D1997" s="6">
        <v>10894.8</v>
      </c>
      <c r="E1997" s="6">
        <v>2297</v>
      </c>
      <c r="F1997" s="9">
        <v>0.79</v>
      </c>
      <c r="H1997" s="11"/>
      <c r="I1997" s="11"/>
      <c r="J1997" s="11"/>
    </row>
    <row r="1998" spans="1:10" ht="15.75" x14ac:dyDescent="0.3">
      <c r="A1998" s="12" t="str">
        <f>HYPERLINK("https://parts-sales.ru/parts/MAN/81254296452","81.25429-6452")</f>
        <v>81.25429-6452</v>
      </c>
      <c r="B1998" s="12" t="str">
        <f>HYPERLINK("https://parts-sales.ru/parts/MAN/81254296452","Мост X1997/12&gt;15")</f>
        <v>Мост X1997/12&gt;15</v>
      </c>
      <c r="C1998" s="3" t="s">
        <v>8</v>
      </c>
      <c r="D1998" s="4">
        <v>2168.4</v>
      </c>
      <c r="E1998" s="4">
        <v>190</v>
      </c>
      <c r="F1998" s="8">
        <v>0.91</v>
      </c>
      <c r="H1998" s="11"/>
      <c r="I1998" s="11"/>
      <c r="J1998" s="11"/>
    </row>
    <row r="1999" spans="1:10" ht="15.75" x14ac:dyDescent="0.3">
      <c r="A1999" s="13" t="str">
        <f>HYPERLINK("https://parts-sales.ru/parts/MAN/81254296554","81.25429-6554")</f>
        <v>81.25429-6554</v>
      </c>
      <c r="B1999" s="13" t="str">
        <f>HYPERLINK("https://parts-sales.ru/parts/MAN/81254296554","Кабельная линия")</f>
        <v>Кабельная линия</v>
      </c>
      <c r="C1999" s="5" t="s">
        <v>8</v>
      </c>
      <c r="D1999" s="6">
        <v>6327.6</v>
      </c>
      <c r="E1999" s="6">
        <v>1230</v>
      </c>
      <c r="F1999" s="9">
        <v>0.81</v>
      </c>
      <c r="H1999" s="11"/>
      <c r="I1999" s="11"/>
      <c r="J1999" s="11"/>
    </row>
    <row r="2000" spans="1:10" ht="15.75" x14ac:dyDescent="0.3">
      <c r="A2000" s="12" t="str">
        <f>HYPERLINK("https://parts-sales.ru/parts/MAN/81254296604","81.25429-6604")</f>
        <v>81.25429-6604</v>
      </c>
      <c r="B2000" s="12" t="str">
        <f>HYPERLINK("https://parts-sales.ru/parts/MAN/81254296604","Кабельная линия 2")</f>
        <v>Кабельная линия 2</v>
      </c>
      <c r="C2000" s="3" t="s">
        <v>8</v>
      </c>
      <c r="D2000" s="4">
        <v>8955.6</v>
      </c>
      <c r="E2000" s="4">
        <v>1902</v>
      </c>
      <c r="F2000" s="8">
        <v>0.79</v>
      </c>
      <c r="H2000" s="11"/>
      <c r="I2000" s="11"/>
      <c r="J2000" s="11"/>
    </row>
    <row r="2001" spans="1:10" ht="15.75" x14ac:dyDescent="0.3">
      <c r="A2001" s="13" t="str">
        <f>HYPERLINK("https://parts-sales.ru/parts/MAN/81254320140","81.25432-0140")</f>
        <v>81.25432-0140</v>
      </c>
      <c r="B2001" s="13" t="str">
        <f>HYPERLINK("https://parts-sales.ru/parts/MAN/81254320140","Корпус штепсельной розетки 3-полюсный")</f>
        <v>Корпус штепсельной розетки 3-полюсный</v>
      </c>
      <c r="C2001" s="5" t="s">
        <v>8</v>
      </c>
      <c r="D2001" s="6">
        <v>3202.8</v>
      </c>
      <c r="E2001" s="6">
        <v>750</v>
      </c>
      <c r="F2001" s="9">
        <v>0.77</v>
      </c>
      <c r="H2001" s="11"/>
      <c r="I2001" s="11"/>
      <c r="J2001" s="11"/>
    </row>
    <row r="2002" spans="1:10" ht="15.75" x14ac:dyDescent="0.3">
      <c r="A2002" s="12" t="str">
        <f>HYPERLINK("https://parts-sales.ru/parts/MAN/81254320281","81.25432-0281")</f>
        <v>81.25432-0281</v>
      </c>
      <c r="B2002" s="12" t="str">
        <f>HYPERLINK("https://parts-sales.ru/parts/MAN/81254320281","Корпус штекера 4-2,8-NF")</f>
        <v>Корпус штекера 4-2,8-NF</v>
      </c>
      <c r="C2002" s="3" t="s">
        <v>8</v>
      </c>
      <c r="D2002" s="4">
        <v>800.4</v>
      </c>
      <c r="E2002" s="4">
        <v>73</v>
      </c>
      <c r="F2002" s="8">
        <v>0.91</v>
      </c>
      <c r="H2002" s="11"/>
      <c r="I2002" s="11"/>
      <c r="J2002" s="11"/>
    </row>
    <row r="2003" spans="1:10" ht="15.75" x14ac:dyDescent="0.3">
      <c r="A2003" s="13" t="str">
        <f>HYPERLINK("https://parts-sales.ru/parts/MAN/81254320338","81.25432-0338")</f>
        <v>81.25432-0338</v>
      </c>
      <c r="B2003" s="13" t="str">
        <f>HYPERLINK("https://parts-sales.ru/parts/MAN/81254320338","Корпус штекера A-2-1,5-CODEB/ST-SW")</f>
        <v>Корпус штекера A-2-1,5-CODEB/ST-SW</v>
      </c>
      <c r="C2003" s="5" t="s">
        <v>8</v>
      </c>
      <c r="D2003" s="6">
        <v>969.6</v>
      </c>
      <c r="E2003" s="6">
        <v>247</v>
      </c>
      <c r="F2003" s="9">
        <v>0.75</v>
      </c>
      <c r="H2003" s="11"/>
      <c r="I2003" s="11"/>
      <c r="J2003" s="11"/>
    </row>
    <row r="2004" spans="1:10" ht="15.75" x14ac:dyDescent="0.3">
      <c r="A2004" s="12" t="str">
        <f>HYPERLINK("https://parts-sales.ru/parts/MAN/81254320340","81.25432-0340")</f>
        <v>81.25432-0340</v>
      </c>
      <c r="B2004" s="12" t="str">
        <f>HYPERLINK("https://parts-sales.ru/parts/MAN/81254320340","Корпус штекера A-2-1,5-CODED/ST-BR")</f>
        <v>Корпус штекера A-2-1,5-CODED/ST-BR</v>
      </c>
      <c r="C2004" s="3" t="s">
        <v>8</v>
      </c>
      <c r="D2004" s="4">
        <v>885.6</v>
      </c>
      <c r="E2004" s="4">
        <v>207</v>
      </c>
      <c r="F2004" s="8">
        <v>0.77</v>
      </c>
      <c r="H2004" s="11"/>
      <c r="I2004" s="11"/>
      <c r="J2004" s="11"/>
    </row>
    <row r="2005" spans="1:10" ht="15.75" x14ac:dyDescent="0.3">
      <c r="A2005" s="13" t="str">
        <f>HYPERLINK("https://parts-sales.ru/parts/MAN/81254320353","81.25432-0353")</f>
        <v>81.25432-0353</v>
      </c>
      <c r="B2005" s="13" t="str">
        <f>HYPERLINK("https://parts-sales.ru/parts/MAN/81254320353","Корпус штекера 12-21,2X18,2-2,8-CODEB-C-")</f>
        <v>Корпус штекера 12-21,2X18,2-2,8-CODEB-C-</v>
      </c>
      <c r="C2005" s="5" t="s">
        <v>8</v>
      </c>
      <c r="D2005" s="6">
        <v>880.8</v>
      </c>
      <c r="E2005" s="6">
        <v>205</v>
      </c>
      <c r="F2005" s="9">
        <v>0.77</v>
      </c>
      <c r="H2005" s="11"/>
      <c r="I2005" s="11"/>
      <c r="J2005" s="11"/>
    </row>
    <row r="2006" spans="1:10" ht="15.75" x14ac:dyDescent="0.3">
      <c r="A2006" s="12" t="str">
        <f>HYPERLINK("https://parts-sales.ru/parts/MAN/81254320356","81.25432-0356")</f>
        <v>81.25432-0356</v>
      </c>
      <c r="B2006" s="12" t="str">
        <f>HYPERLINK("https://parts-sales.ru/parts/MAN/81254320356","Корпус штекера 21-36,2X18,2-2,8-CODEB-C-")</f>
        <v>Корпус штекера 21-36,2X18,2-2,8-CODEB-C-</v>
      </c>
      <c r="C2006" s="3" t="s">
        <v>8</v>
      </c>
      <c r="D2006" s="4">
        <v>951.6</v>
      </c>
      <c r="E2006" s="4">
        <v>255</v>
      </c>
      <c r="F2006" s="8">
        <v>0.73</v>
      </c>
      <c r="H2006" s="11"/>
      <c r="I2006" s="11"/>
      <c r="J2006" s="11"/>
    </row>
    <row r="2007" spans="1:10" ht="15.75" x14ac:dyDescent="0.3">
      <c r="A2007" s="13" t="str">
        <f>HYPERLINK("https://parts-sales.ru/parts/MAN/81254320371","81.25432-0371")</f>
        <v>81.25432-0371</v>
      </c>
      <c r="B2007" s="13" t="str">
        <f>HYPERLINK("https://parts-sales.ru/parts/MAN/81254320371","Корпус штекера 12-21,2X18,2-2,8-CODEB-C-")</f>
        <v>Корпус штекера 12-21,2X18,2-2,8-CODEB-C-</v>
      </c>
      <c r="C2007" s="5" t="s">
        <v>8</v>
      </c>
      <c r="D2007" s="6">
        <v>771.6</v>
      </c>
      <c r="E2007" s="6">
        <v>182</v>
      </c>
      <c r="F2007" s="9">
        <v>0.76</v>
      </c>
      <c r="H2007" s="11"/>
      <c r="I2007" s="11"/>
      <c r="J2007" s="11"/>
    </row>
    <row r="2008" spans="1:10" ht="15.75" x14ac:dyDescent="0.3">
      <c r="A2008" s="12" t="str">
        <f>HYPERLINK("https://parts-sales.ru/parts/MAN/81254320372","81.25432-0372")</f>
        <v>81.25432-0372</v>
      </c>
      <c r="B2008" s="12" t="str">
        <f>HYPERLINK("https://parts-sales.ru/parts/MAN/81254320372","Корпус штекера 15-26,2X18,2-2,8-CODEB-C-")</f>
        <v>Корпус штекера 15-26,2X18,2-2,8-CODEB-C-</v>
      </c>
      <c r="C2008" s="3" t="s">
        <v>8</v>
      </c>
      <c r="D2008" s="4">
        <v>348</v>
      </c>
      <c r="E2008" s="4">
        <v>100</v>
      </c>
      <c r="F2008" s="8">
        <v>0.71</v>
      </c>
      <c r="H2008" s="11"/>
      <c r="I2008" s="11"/>
      <c r="J2008" s="11"/>
    </row>
    <row r="2009" spans="1:10" ht="15.75" x14ac:dyDescent="0.3">
      <c r="A2009" s="13" t="str">
        <f>HYPERLINK("https://parts-sales.ru/parts/MAN/81254320378","81.25432-0378")</f>
        <v>81.25432-0378</v>
      </c>
      <c r="B2009" s="13" t="str">
        <f>HYPERLINK("https://parts-sales.ru/parts/MAN/81254320378","Корпус штекера 15-26,2X18,2-2,8-CODEB-C-")</f>
        <v>Корпус штекера 15-26,2X18,2-2,8-CODEB-C-</v>
      </c>
      <c r="C2009" s="5" t="s">
        <v>8</v>
      </c>
      <c r="D2009" s="6">
        <v>1246.8</v>
      </c>
      <c r="E2009" s="6">
        <v>266</v>
      </c>
      <c r="F2009" s="9">
        <v>0.79</v>
      </c>
      <c r="H2009" s="11"/>
      <c r="I2009" s="11"/>
      <c r="J2009" s="11"/>
    </row>
    <row r="2010" spans="1:10" ht="15.75" x14ac:dyDescent="0.3">
      <c r="A2010" s="12" t="str">
        <f>HYPERLINK("https://parts-sales.ru/parts/MAN/81254320379","81.25432-0379")</f>
        <v>81.25432-0379</v>
      </c>
      <c r="B2010" s="12" t="str">
        <f>HYPERLINK("https://parts-sales.ru/parts/MAN/81254320379","Корпус штекера 18-31,2X18,2-2,8-CODEB-C-")</f>
        <v>Корпус штекера 18-31,2X18,2-2,8-CODEB-C-</v>
      </c>
      <c r="C2010" s="3" t="s">
        <v>8</v>
      </c>
      <c r="D2010" s="4">
        <v>980.4</v>
      </c>
      <c r="E2010" s="4">
        <v>111</v>
      </c>
      <c r="F2010" s="8">
        <v>0.89</v>
      </c>
      <c r="H2010" s="11"/>
      <c r="I2010" s="11"/>
      <c r="J2010" s="11"/>
    </row>
    <row r="2011" spans="1:10" ht="15.75" x14ac:dyDescent="0.3">
      <c r="A2011" s="13" t="str">
        <f>HYPERLINK("https://parts-sales.ru/parts/MAN/81254320395","81.25432-0395")</f>
        <v>81.25432-0395</v>
      </c>
      <c r="B2011" s="13" t="str">
        <f>HYPERLINK("https://parts-sales.ru/parts/MAN/81254320395","Корпус штекера 2-11X6,9-2,8-NF")</f>
        <v>Корпус штекера 2-11X6,9-2,8-NF</v>
      </c>
      <c r="C2011" s="5" t="s">
        <v>8</v>
      </c>
      <c r="D2011" s="6">
        <v>219.6</v>
      </c>
      <c r="E2011" s="6">
        <v>67</v>
      </c>
      <c r="F2011" s="9">
        <v>0.69</v>
      </c>
      <c r="H2011" s="11"/>
      <c r="I2011" s="11"/>
      <c r="J2011" s="11"/>
    </row>
    <row r="2012" spans="1:10" ht="15.75" x14ac:dyDescent="0.3">
      <c r="A2012" s="12" t="str">
        <f>HYPERLINK("https://parts-sales.ru/parts/MAN/81254320398","81.25432-0398")</f>
        <v>81.25432-0398</v>
      </c>
      <c r="B2012" s="12" t="str">
        <f>HYPERLINK("https://parts-sales.ru/parts/MAN/81254320398","Корпус штекера 8-25,3X11,35-2,8-CODEA-NF")</f>
        <v>Корпус штекера 8-25,3X11,35-2,8-CODEA-NF</v>
      </c>
      <c r="C2012" s="3" t="s">
        <v>8</v>
      </c>
      <c r="D2012" s="4">
        <v>1074</v>
      </c>
      <c r="E2012" s="4">
        <v>136</v>
      </c>
      <c r="F2012" s="8">
        <v>0.87</v>
      </c>
      <c r="H2012" s="11"/>
      <c r="I2012" s="11"/>
      <c r="J2012" s="11"/>
    </row>
    <row r="2013" spans="1:10" ht="15.75" x14ac:dyDescent="0.3">
      <c r="A2013" s="13" t="str">
        <f>HYPERLINK("https://parts-sales.ru/parts/MAN/81254320405","81.25432-0405")</f>
        <v>81.25432-0405</v>
      </c>
      <c r="B2013" s="13" t="str">
        <f>HYPERLINK("https://parts-sales.ru/parts/MAN/81254320405","Корпус штекера 18-31,2X18,2-2,8-CODEA-C-")</f>
        <v>Корпус штекера 18-31,2X18,2-2,8-CODEA-C-</v>
      </c>
      <c r="C2013" s="5" t="s">
        <v>8</v>
      </c>
      <c r="D2013" s="6">
        <v>828</v>
      </c>
      <c r="E2013" s="6">
        <v>123</v>
      </c>
      <c r="F2013" s="9">
        <v>0.85</v>
      </c>
      <c r="H2013" s="11"/>
      <c r="I2013" s="11"/>
      <c r="J2013" s="11"/>
    </row>
    <row r="2014" spans="1:10" ht="15.75" x14ac:dyDescent="0.3">
      <c r="A2014" s="12" t="str">
        <f>HYPERLINK("https://parts-sales.ru/parts/MAN/81254320415","81.25432-0415")</f>
        <v>81.25432-0415</v>
      </c>
      <c r="B2014" s="12" t="str">
        <f>HYPERLINK("https://parts-sales.ru/parts/MAN/81254320415","Корпус штекера B7-23,6-1,5-CODEB1/ST-GR")</f>
        <v>Корпус штекера B7-23,6-1,5-CODEB1/ST-GR</v>
      </c>
      <c r="C2014" s="3" t="s">
        <v>8</v>
      </c>
      <c r="D2014" s="4">
        <v>879.27</v>
      </c>
      <c r="E2014" s="4">
        <v>527</v>
      </c>
      <c r="F2014" s="8">
        <v>0.4</v>
      </c>
      <c r="H2014" s="11"/>
      <c r="I2014" s="11"/>
      <c r="J2014" s="11"/>
    </row>
    <row r="2015" spans="1:10" ht="15.75" x14ac:dyDescent="0.3">
      <c r="A2015" s="13" t="str">
        <f>HYPERLINK("https://parts-sales.ru/parts/MAN/81254320434","81.25432-0434")</f>
        <v>81.25432-0434</v>
      </c>
      <c r="B2015" s="13" t="str">
        <f>HYPERLINK("https://parts-sales.ru/parts/MAN/81254320434","Корпус штекера A-2-1,5-CODEA/ST-GR")</f>
        <v>Корпус штекера A-2-1,5-CODEA/ST-GR</v>
      </c>
      <c r="C2015" s="5" t="s">
        <v>8</v>
      </c>
      <c r="D2015" s="6">
        <v>1029.5999999999999</v>
      </c>
      <c r="E2015" s="6">
        <v>238</v>
      </c>
      <c r="F2015" s="9">
        <v>0.77</v>
      </c>
      <c r="H2015" s="11"/>
      <c r="I2015" s="11"/>
      <c r="J2015" s="11"/>
    </row>
    <row r="2016" spans="1:10" ht="15.75" x14ac:dyDescent="0.3">
      <c r="A2016" s="12" t="str">
        <f>HYPERLINK("https://parts-sales.ru/parts/MAN/81254320438","81.25432-0438")</f>
        <v>81.25432-0438</v>
      </c>
      <c r="B2016" s="12" t="str">
        <f>HYPERLINK("https://parts-sales.ru/parts/MAN/81254320438","Корпус штекера C-4-1,5-CODEE/ST-OR")</f>
        <v>Корпус штекера C-4-1,5-CODEE/ST-OR</v>
      </c>
      <c r="C2016" s="3" t="s">
        <v>8</v>
      </c>
      <c r="D2016" s="4">
        <v>946.8</v>
      </c>
      <c r="E2016" s="4">
        <v>19</v>
      </c>
      <c r="F2016" s="8">
        <v>0.98</v>
      </c>
      <c r="H2016" s="11"/>
      <c r="I2016" s="11"/>
      <c r="J2016" s="11"/>
    </row>
    <row r="2017" spans="1:10" ht="15.75" x14ac:dyDescent="0.3">
      <c r="A2017" s="13" t="str">
        <f>HYPERLINK("https://parts-sales.ru/parts/MAN/81254320446","81.25432-0446")</f>
        <v>81.25432-0446</v>
      </c>
      <c r="B2017" s="13" t="str">
        <f>HYPERLINK("https://parts-sales.ru/parts/MAN/81254320446","Корпус штекера A-2-1,5-CODED/ST-BR")</f>
        <v>Корпус штекера A-2-1,5-CODED/ST-BR</v>
      </c>
      <c r="C2017" s="5" t="s">
        <v>8</v>
      </c>
      <c r="D2017" s="6">
        <v>1029.5999999999999</v>
      </c>
      <c r="E2017" s="6">
        <v>13</v>
      </c>
      <c r="F2017" s="9">
        <v>0.99</v>
      </c>
      <c r="H2017" s="11"/>
      <c r="I2017" s="11"/>
      <c r="J2017" s="11"/>
    </row>
    <row r="2018" spans="1:10" ht="15.75" x14ac:dyDescent="0.3">
      <c r="A2018" s="12" t="str">
        <f>HYPERLINK("https://parts-sales.ru/parts/MAN/81254320453","81.25432-0453")</f>
        <v>81.25432-0453</v>
      </c>
      <c r="B2018" s="12" t="str">
        <f>HYPERLINK("https://parts-sales.ru/parts/MAN/81254320453","Корпус штекера C-6-1,5-CODEA/ST-GR")</f>
        <v>Корпус штекера C-6-1,5-CODEA/ST-GR</v>
      </c>
      <c r="C2018" s="3" t="s">
        <v>8</v>
      </c>
      <c r="D2018" s="4">
        <v>946.8</v>
      </c>
      <c r="E2018" s="4">
        <v>74</v>
      </c>
      <c r="F2018" s="8">
        <v>0.92</v>
      </c>
      <c r="H2018" s="11"/>
      <c r="I2018" s="11"/>
      <c r="J2018" s="11"/>
    </row>
    <row r="2019" spans="1:10" ht="15.75" x14ac:dyDescent="0.3">
      <c r="A2019" s="13" t="str">
        <f>HYPERLINK("https://parts-sales.ru/parts/MAN/81254320480","81.25432-0480")</f>
        <v>81.25432-0480</v>
      </c>
      <c r="B2019" s="13" t="str">
        <f>HYPERLINK("https://parts-sales.ru/parts/MAN/81254320480","Корпус штекера 16X1,0-CODEB-BL")</f>
        <v>Корпус штекера 16X1,0-CODEB-BL</v>
      </c>
      <c r="C2019" s="5" t="s">
        <v>8</v>
      </c>
      <c r="D2019" s="6">
        <v>475.26</v>
      </c>
      <c r="E2019" s="6">
        <v>161</v>
      </c>
      <c r="F2019" s="9">
        <v>0.66</v>
      </c>
      <c r="H2019" s="11"/>
      <c r="I2019" s="11"/>
      <c r="J2019" s="11"/>
    </row>
    <row r="2020" spans="1:10" ht="15.75" x14ac:dyDescent="0.3">
      <c r="A2020" s="12" t="str">
        <f>HYPERLINK("https://parts-sales.ru/parts/MAN/81254320492","81.25432-0492")</f>
        <v>81.25432-0492</v>
      </c>
      <c r="B2020" s="12" t="str">
        <f>HYPERLINK("https://parts-sales.ru/parts/MAN/81254320492","Корпус штекера C-6-1,5-CODEA/ST-GR")</f>
        <v>Корпус штекера C-6-1,5-CODEA/ST-GR</v>
      </c>
      <c r="C2020" s="3" t="s">
        <v>8</v>
      </c>
      <c r="D2020" s="4">
        <v>715.2</v>
      </c>
      <c r="E2020" s="4">
        <v>164</v>
      </c>
      <c r="F2020" s="8">
        <v>0.77</v>
      </c>
      <c r="H2020" s="11"/>
      <c r="I2020" s="11"/>
      <c r="J2020" s="11"/>
    </row>
    <row r="2021" spans="1:10" ht="15.75" x14ac:dyDescent="0.3">
      <c r="A2021" s="13" t="str">
        <f>HYPERLINK("https://parts-sales.ru/parts/MAN/81254320543","81.25432-0543")</f>
        <v>81.25432-0543</v>
      </c>
      <c r="B2021" s="13" t="str">
        <f>HYPERLINK("https://parts-sales.ru/parts/MAN/81254320543","Гнездо AUX-IN/USB")</f>
        <v>Гнездо AUX-IN/USB</v>
      </c>
      <c r="C2021" s="5" t="s">
        <v>8</v>
      </c>
      <c r="D2021" s="6">
        <v>5186.3999999999996</v>
      </c>
      <c r="E2021" s="6">
        <v>1564</v>
      </c>
      <c r="F2021" s="9">
        <v>0.7</v>
      </c>
      <c r="H2021" s="11"/>
      <c r="I2021" s="11"/>
      <c r="J2021" s="11"/>
    </row>
    <row r="2022" spans="1:10" ht="15.75" x14ac:dyDescent="0.3">
      <c r="A2022" s="12" t="str">
        <f>HYPERLINK("https://parts-sales.ru/parts/MAN/81254320548","81.25432-0548")</f>
        <v>81.25432-0548</v>
      </c>
      <c r="B2022" s="12" t="str">
        <f>HYPERLINK("https://parts-sales.ru/parts/MAN/81254320548","Корпус втулки 21-полюсный")</f>
        <v>Корпус втулки 21-полюсный</v>
      </c>
      <c r="C2022" s="3" t="s">
        <v>8</v>
      </c>
      <c r="D2022" s="4">
        <v>722.4</v>
      </c>
      <c r="E2022" s="4">
        <v>192</v>
      </c>
      <c r="F2022" s="8">
        <v>0.73</v>
      </c>
      <c r="H2022" s="11"/>
      <c r="I2022" s="11"/>
      <c r="J2022" s="11"/>
    </row>
    <row r="2023" spans="1:10" ht="15.75" x14ac:dyDescent="0.3">
      <c r="A2023" s="13" t="str">
        <f>HYPERLINK("https://parts-sales.ru/parts/MAN/81254326165","81.25432-6165")</f>
        <v>81.25432-6165</v>
      </c>
      <c r="B2023" s="13" t="str">
        <f>HYPERLINK("https://parts-sales.ru/parts/MAN/81254326165","Адаптер Задние габаритные фонари")</f>
        <v>Адаптер Задние габаритные фонари</v>
      </c>
      <c r="C2023" s="5" t="s">
        <v>8</v>
      </c>
      <c r="D2023" s="6">
        <v>14093.16</v>
      </c>
      <c r="E2023" s="6">
        <v>8474</v>
      </c>
      <c r="F2023" s="9">
        <v>0.4</v>
      </c>
      <c r="H2023" s="11"/>
      <c r="I2023" s="11"/>
      <c r="J2023" s="11"/>
    </row>
    <row r="2024" spans="1:10" ht="15.75" x14ac:dyDescent="0.3">
      <c r="A2024" s="12" t="str">
        <f>HYPERLINK("https://parts-sales.ru/parts/MAN/81254326259","81.25432-6259")</f>
        <v>81.25432-6259</v>
      </c>
      <c r="B2024" s="12" t="str">
        <f>HYPERLINK("https://parts-sales.ru/parts/MAN/81254326259","Корпус втулки MCP2.8 21-POL GEDICHTET")</f>
        <v>Корпус втулки MCP2.8 21-POL GEDICHTET</v>
      </c>
      <c r="C2024" s="3" t="s">
        <v>8</v>
      </c>
      <c r="D2024" s="4">
        <v>6566.4</v>
      </c>
      <c r="E2024" s="4">
        <v>2761</v>
      </c>
      <c r="F2024" s="8">
        <v>0.57999999999999996</v>
      </c>
      <c r="H2024" s="11"/>
      <c r="I2024" s="11"/>
      <c r="J2024" s="11"/>
    </row>
    <row r="2025" spans="1:10" ht="15.75" x14ac:dyDescent="0.3">
      <c r="A2025" s="13" t="str">
        <f>HYPERLINK("https://parts-sales.ru/parts/MAN/81254330086","81.25433-0086")</f>
        <v>81.25433-0086</v>
      </c>
      <c r="B2025" s="13" t="str">
        <f>HYPERLINK("https://parts-sales.ru/parts/MAN/81254330086","Редукционная часть NW8,5/4,5X9")</f>
        <v>Редукционная часть NW8,5/4,5X9</v>
      </c>
      <c r="C2025" s="5" t="s">
        <v>8</v>
      </c>
      <c r="D2025" s="6">
        <v>685.2</v>
      </c>
      <c r="E2025" s="6">
        <v>265</v>
      </c>
      <c r="F2025" s="9">
        <v>0.61</v>
      </c>
      <c r="H2025" s="11"/>
      <c r="I2025" s="11"/>
      <c r="J2025" s="11"/>
    </row>
    <row r="2026" spans="1:10" ht="15.75" x14ac:dyDescent="0.3">
      <c r="A2026" s="12" t="str">
        <f>HYPERLINK("https://parts-sales.ru/parts/MAN/81254330088","81.25433-0088")</f>
        <v>81.25433-0088</v>
      </c>
      <c r="B2026" s="12" t="str">
        <f>HYPERLINK("https://parts-sales.ru/parts/MAN/81254330088","Соединительный элемент 2-POL/NW8,5")</f>
        <v>Соединительный элемент 2-POL/NW8,5</v>
      </c>
      <c r="C2026" s="3" t="s">
        <v>8</v>
      </c>
      <c r="D2026" s="4">
        <v>524.4</v>
      </c>
      <c r="E2026" s="4">
        <v>124</v>
      </c>
      <c r="F2026" s="8">
        <v>0.76</v>
      </c>
      <c r="H2026" s="11"/>
      <c r="I2026" s="11"/>
      <c r="J2026" s="11"/>
    </row>
    <row r="2027" spans="1:10" ht="15.75" x14ac:dyDescent="0.3">
      <c r="A2027" s="13" t="str">
        <f>HYPERLINK("https://parts-sales.ru/parts/MAN/81254330097","81.25433-0097")</f>
        <v>81.25433-0097</v>
      </c>
      <c r="B2027" s="13" t="str">
        <f>HYPERLINK("https://parts-sales.ru/parts/MAN/81254330097","Распределительная часть NW13-10-10-PA66-")</f>
        <v>Распределительная часть NW13-10-10-PA66-</v>
      </c>
      <c r="C2027" s="5" t="s">
        <v>8</v>
      </c>
      <c r="D2027" s="6">
        <v>748.8</v>
      </c>
      <c r="E2027" s="6">
        <v>175</v>
      </c>
      <c r="F2027" s="9">
        <v>0.77</v>
      </c>
      <c r="H2027" s="11"/>
      <c r="I2027" s="11"/>
      <c r="J2027" s="11"/>
    </row>
    <row r="2028" spans="1:10" ht="15.75" x14ac:dyDescent="0.3">
      <c r="A2028" s="12" t="str">
        <f>HYPERLINK("https://parts-sales.ru/parts/MAN/81254330099","81.25433-0099")</f>
        <v>81.25433-0099</v>
      </c>
      <c r="B2028" s="12" t="str">
        <f>HYPERLINK("https://parts-sales.ru/parts/MAN/81254330099","Редукционная часть NW10/4,5X9")</f>
        <v>Редукционная часть NW10/4,5X9</v>
      </c>
      <c r="C2028" s="3" t="s">
        <v>8</v>
      </c>
      <c r="D2028" s="4">
        <v>253.2</v>
      </c>
      <c r="E2028" s="4">
        <v>52</v>
      </c>
      <c r="F2028" s="8">
        <v>0.79</v>
      </c>
      <c r="H2028" s="11"/>
      <c r="I2028" s="11"/>
      <c r="J2028" s="11"/>
    </row>
    <row r="2029" spans="1:10" ht="15.75" x14ac:dyDescent="0.3">
      <c r="A2029" s="13" t="str">
        <f>HYPERLINK("https://parts-sales.ru/parts/MAN/81254330112","81.25433-0112")</f>
        <v>81.25433-0112</v>
      </c>
      <c r="B2029" s="13" t="str">
        <f>HYPERLINK("https://parts-sales.ru/parts/MAN/81254330112","Распределительная часть NW17-17")</f>
        <v>Распределительная часть NW17-17</v>
      </c>
      <c r="C2029" s="5" t="s">
        <v>8</v>
      </c>
      <c r="D2029" s="6">
        <v>648</v>
      </c>
      <c r="E2029" s="6">
        <v>153</v>
      </c>
      <c r="F2029" s="9">
        <v>0.76</v>
      </c>
      <c r="H2029" s="11"/>
      <c r="I2029" s="11"/>
      <c r="J2029" s="11"/>
    </row>
    <row r="2030" spans="1:10" ht="15.75" x14ac:dyDescent="0.3">
      <c r="A2030" s="12" t="str">
        <f>HYPERLINK("https://parts-sales.ru/parts/MAN/81254330115","81.25433-0115")</f>
        <v>81.25433-0115</v>
      </c>
      <c r="B2030" s="12" t="str">
        <f>HYPERLINK("https://parts-sales.ru/parts/MAN/81254330115","Адаптер 2-полюсный")</f>
        <v>Адаптер 2-полюсный</v>
      </c>
      <c r="C2030" s="3" t="s">
        <v>8</v>
      </c>
      <c r="D2030" s="4">
        <v>483.16</v>
      </c>
      <c r="E2030" s="4">
        <v>81</v>
      </c>
      <c r="F2030" s="8">
        <v>0.83</v>
      </c>
      <c r="H2030" s="11"/>
      <c r="I2030" s="11"/>
      <c r="J2030" s="11"/>
    </row>
    <row r="2031" spans="1:10" ht="15.75" x14ac:dyDescent="0.3">
      <c r="A2031" s="13" t="str">
        <f>HYPERLINK("https://parts-sales.ru/parts/MAN/81254330118","81.25433-0118")</f>
        <v>81.25433-0118</v>
      </c>
      <c r="B2031" s="13" t="str">
        <f>HYPERLINK("https://parts-sales.ru/parts/MAN/81254330118","Редукционная часть NW13/10X7,5")</f>
        <v>Редукционная часть NW13/10X7,5</v>
      </c>
      <c r="C2031" s="5" t="s">
        <v>8</v>
      </c>
      <c r="D2031" s="6">
        <v>781.2</v>
      </c>
      <c r="E2031" s="6">
        <v>78</v>
      </c>
      <c r="F2031" s="9">
        <v>0.9</v>
      </c>
      <c r="H2031" s="11"/>
      <c r="I2031" s="11"/>
      <c r="J2031" s="11"/>
    </row>
    <row r="2032" spans="1:10" ht="15.75" x14ac:dyDescent="0.3">
      <c r="A2032" s="12" t="str">
        <f>HYPERLINK("https://parts-sales.ru/parts/MAN/81254330120","81.25433-0120")</f>
        <v>81.25433-0120</v>
      </c>
      <c r="B2032" s="12" t="str">
        <f>HYPERLINK("https://parts-sales.ru/parts/MAN/81254330120","Распределительная часть NW13-8,5-13-PA66")</f>
        <v>Распределительная часть NW13-8,5-13-PA66</v>
      </c>
      <c r="C2032" s="3" t="s">
        <v>8</v>
      </c>
      <c r="D2032" s="4">
        <v>781.2</v>
      </c>
      <c r="E2032" s="4">
        <v>155</v>
      </c>
      <c r="F2032" s="8">
        <v>0.8</v>
      </c>
      <c r="H2032" s="11"/>
      <c r="I2032" s="11"/>
      <c r="J2032" s="11"/>
    </row>
    <row r="2033" spans="1:10" ht="15.75" x14ac:dyDescent="0.3">
      <c r="A2033" s="13" t="str">
        <f>HYPERLINK("https://parts-sales.ru/parts/MAN/81254330150","81.25433-0150")</f>
        <v>81.25433-0150</v>
      </c>
      <c r="B2033" s="13" t="str">
        <f>HYPERLINK("https://parts-sales.ru/parts/MAN/81254330150","Распределительная часть NW26-4,5-26-PA66")</f>
        <v>Распределительная часть NW26-4,5-26-PA66</v>
      </c>
      <c r="C2033" s="5" t="s">
        <v>8</v>
      </c>
      <c r="D2033" s="6">
        <v>1274.4000000000001</v>
      </c>
      <c r="E2033" s="6">
        <v>272</v>
      </c>
      <c r="F2033" s="9">
        <v>0.79</v>
      </c>
      <c r="H2033" s="11"/>
      <c r="I2033" s="11"/>
      <c r="J2033" s="11"/>
    </row>
    <row r="2034" spans="1:10" ht="15.75" x14ac:dyDescent="0.3">
      <c r="A2034" s="12" t="str">
        <f>HYPERLINK("https://parts-sales.ru/parts/MAN/81254330160","81.25433-0160")</f>
        <v>81.25433-0160</v>
      </c>
      <c r="B2034" s="12" t="str">
        <f>HYPERLINK("https://parts-sales.ru/parts/MAN/81254330160","Наконечник NW-8,5/90GRAD")</f>
        <v>Наконечник NW-8,5/90GRAD</v>
      </c>
      <c r="C2034" s="3" t="s">
        <v>8</v>
      </c>
      <c r="D2034" s="4">
        <v>828</v>
      </c>
      <c r="E2034" s="4">
        <v>164</v>
      </c>
      <c r="F2034" s="8">
        <v>0.8</v>
      </c>
      <c r="H2034" s="11"/>
      <c r="I2034" s="11"/>
      <c r="J2034" s="11"/>
    </row>
    <row r="2035" spans="1:10" ht="15.75" x14ac:dyDescent="0.3">
      <c r="A2035" s="13" t="str">
        <f>HYPERLINK("https://parts-sales.ru/parts/MAN/81254330161","81.25433-0161")</f>
        <v>81.25433-0161</v>
      </c>
      <c r="B2035" s="13" t="str">
        <f>HYPERLINK("https://parts-sales.ru/parts/MAN/81254330161","Наконечник NW 10")</f>
        <v>Наконечник NW 10</v>
      </c>
      <c r="C2035" s="5" t="s">
        <v>8</v>
      </c>
      <c r="D2035" s="6">
        <v>548.35</v>
      </c>
      <c r="E2035" s="6">
        <v>239</v>
      </c>
      <c r="F2035" s="9">
        <v>0.56000000000000005</v>
      </c>
      <c r="H2035" s="11"/>
      <c r="I2035" s="11"/>
      <c r="J2035" s="11"/>
    </row>
    <row r="2036" spans="1:10" ht="15.75" x14ac:dyDescent="0.3">
      <c r="A2036" s="12" t="str">
        <f>HYPERLINK("https://parts-sales.ru/parts/MAN/81254330162","81.25433-0162")</f>
        <v>81.25433-0162</v>
      </c>
      <c r="B2036" s="12" t="str">
        <f>HYPERLINK("https://parts-sales.ru/parts/MAN/81254330162","Наконечник NW-10/90GRAD")</f>
        <v>Наконечник NW-10/90GRAD</v>
      </c>
      <c r="C2036" s="3" t="s">
        <v>8</v>
      </c>
      <c r="D2036" s="4">
        <v>748.8</v>
      </c>
      <c r="E2036" s="4">
        <v>215</v>
      </c>
      <c r="F2036" s="8">
        <v>0.71</v>
      </c>
      <c r="H2036" s="11"/>
      <c r="I2036" s="11"/>
      <c r="J2036" s="11"/>
    </row>
    <row r="2037" spans="1:10" ht="15.75" x14ac:dyDescent="0.3">
      <c r="A2037" s="13" t="str">
        <f>HYPERLINK("https://parts-sales.ru/parts/MAN/81254330164","81.25433-0164")</f>
        <v>81.25433-0164</v>
      </c>
      <c r="B2037" s="13" t="str">
        <f>HYPERLINK("https://parts-sales.ru/parts/MAN/81254330164","Соединительный элемент 90# NW17")</f>
        <v>Соединительный элемент 90# NW17</v>
      </c>
      <c r="C2037" s="5" t="s">
        <v>8</v>
      </c>
      <c r="D2037" s="6">
        <v>500.4</v>
      </c>
      <c r="E2037" s="6">
        <v>111</v>
      </c>
      <c r="F2037" s="9">
        <v>0.78</v>
      </c>
      <c r="H2037" s="11"/>
      <c r="I2037" s="11"/>
      <c r="J2037" s="11"/>
    </row>
    <row r="2038" spans="1:10" ht="15.75" x14ac:dyDescent="0.3">
      <c r="A2038" s="12" t="str">
        <f>HYPERLINK("https://parts-sales.ru/parts/MAN/81254330171","81.25433-0171")</f>
        <v>81.25433-0171</v>
      </c>
      <c r="B2038" s="12" t="str">
        <f>HYPERLINK("https://parts-sales.ru/parts/MAN/81254330171","Адаптер 8-POLIG NW10")</f>
        <v>Адаптер 8-POLIG NW10</v>
      </c>
      <c r="C2038" s="3" t="s">
        <v>8</v>
      </c>
      <c r="D2038" s="4">
        <v>675.6</v>
      </c>
      <c r="E2038" s="4">
        <v>154</v>
      </c>
      <c r="F2038" s="8">
        <v>0.77</v>
      </c>
      <c r="H2038" s="11"/>
      <c r="I2038" s="11"/>
      <c r="J2038" s="11"/>
    </row>
    <row r="2039" spans="1:10" ht="15.75" x14ac:dyDescent="0.3">
      <c r="A2039" s="13" t="str">
        <f>HYPERLINK("https://parts-sales.ru/parts/MAN/81254330178","81.25433-0178")</f>
        <v>81.25433-0178</v>
      </c>
      <c r="B2039" s="13" t="str">
        <f>HYPERLINK("https://parts-sales.ru/parts/MAN/81254330178","Распределительная часть NW26-26")</f>
        <v>Распределительная часть NW26-26</v>
      </c>
      <c r="C2039" s="5" t="s">
        <v>8</v>
      </c>
      <c r="D2039" s="6">
        <v>715.2</v>
      </c>
      <c r="E2039" s="6">
        <v>101</v>
      </c>
      <c r="F2039" s="9">
        <v>0.86</v>
      </c>
      <c r="H2039" s="11"/>
      <c r="I2039" s="11"/>
      <c r="J2039" s="11"/>
    </row>
    <row r="2040" spans="1:10" ht="15.75" x14ac:dyDescent="0.3">
      <c r="A2040" s="12" t="str">
        <f>HYPERLINK("https://parts-sales.ru/parts/MAN/81254330182","81.25433-0182")</f>
        <v>81.25433-0182</v>
      </c>
      <c r="B2040" s="12" t="str">
        <f>HYPERLINK("https://parts-sales.ru/parts/MAN/81254330182","Адаптер 2-POLIG/NW 8,5")</f>
        <v>Адаптер 2-POLIG/NW 8,5</v>
      </c>
      <c r="C2040" s="3" t="s">
        <v>8</v>
      </c>
      <c r="D2040" s="4">
        <v>715.2</v>
      </c>
      <c r="E2040" s="4">
        <v>156</v>
      </c>
      <c r="F2040" s="8">
        <v>0.78</v>
      </c>
      <c r="H2040" s="11"/>
      <c r="I2040" s="11"/>
      <c r="J2040" s="11"/>
    </row>
    <row r="2041" spans="1:10" ht="15.75" x14ac:dyDescent="0.3">
      <c r="A2041" s="13" t="str">
        <f>HYPERLINK("https://parts-sales.ru/parts/MAN/81254330183","81.25433-0183")</f>
        <v>81.25433-0183</v>
      </c>
      <c r="B2041" s="13" t="str">
        <f>HYPERLINK("https://parts-sales.ru/parts/MAN/81254330183","Адаптер 2-POLIG/NW 8,5")</f>
        <v>Адаптер 2-POLIG/NW 8,5</v>
      </c>
      <c r="C2041" s="5" t="s">
        <v>8</v>
      </c>
      <c r="D2041" s="6">
        <v>877.2</v>
      </c>
      <c r="E2041" s="6">
        <v>177</v>
      </c>
      <c r="F2041" s="9">
        <v>0.8</v>
      </c>
      <c r="H2041" s="11"/>
      <c r="I2041" s="11"/>
      <c r="J2041" s="11"/>
    </row>
    <row r="2042" spans="1:10" ht="15.75" x14ac:dyDescent="0.3">
      <c r="A2042" s="12" t="str">
        <f>HYPERLINK("https://parts-sales.ru/parts/MAN/81254330184","81.25433-0184")</f>
        <v>81.25433-0184</v>
      </c>
      <c r="B2042" s="12" t="str">
        <f>HYPERLINK("https://parts-sales.ru/parts/MAN/81254330184","Адаптер 4-полюсный")</f>
        <v>Адаптер 4-полюсный</v>
      </c>
      <c r="C2042" s="3" t="s">
        <v>8</v>
      </c>
      <c r="D2042" s="4">
        <v>591.6</v>
      </c>
      <c r="E2042" s="4">
        <v>155</v>
      </c>
      <c r="F2042" s="8">
        <v>0.74</v>
      </c>
      <c r="H2042" s="11"/>
      <c r="I2042" s="11"/>
      <c r="J2042" s="11"/>
    </row>
    <row r="2043" spans="1:10" ht="15.75" x14ac:dyDescent="0.3">
      <c r="A2043" s="13" t="str">
        <f>HYPERLINK("https://parts-sales.ru/parts/MAN/81254330186","81.25433-0186")</f>
        <v>81.25433-0186</v>
      </c>
      <c r="B2043" s="13" t="str">
        <f>HYPERLINK("https://parts-sales.ru/parts/MAN/81254330186","Соединительный элемент NW22/90#")</f>
        <v>Соединительный элемент NW22/90#</v>
      </c>
      <c r="C2043" s="5" t="s">
        <v>8</v>
      </c>
      <c r="D2043" s="6">
        <v>741.6</v>
      </c>
      <c r="E2043" s="6">
        <v>91</v>
      </c>
      <c r="F2043" s="9">
        <v>0.88</v>
      </c>
      <c r="H2043" s="11"/>
      <c r="I2043" s="11"/>
      <c r="J2043" s="11"/>
    </row>
    <row r="2044" spans="1:10" ht="15.75" x14ac:dyDescent="0.3">
      <c r="A2044" s="12" t="str">
        <f>HYPERLINK("https://parts-sales.ru/parts/MAN/81254330240","81.25433-0240")</f>
        <v>81.25433-0240</v>
      </c>
      <c r="B2044" s="12" t="str">
        <f>HYPERLINK("https://parts-sales.ru/parts/MAN/81254330240","Адаптер NW 4,5")</f>
        <v>Адаптер NW 4,5</v>
      </c>
      <c r="C2044" s="3" t="s">
        <v>8</v>
      </c>
      <c r="D2044" s="4">
        <v>524.4</v>
      </c>
      <c r="E2044" s="4">
        <v>120</v>
      </c>
      <c r="F2044" s="8">
        <v>0.77</v>
      </c>
      <c r="H2044" s="11"/>
      <c r="I2044" s="11"/>
      <c r="J2044" s="11"/>
    </row>
    <row r="2045" spans="1:10" ht="15.75" x14ac:dyDescent="0.3">
      <c r="A2045" s="13" t="str">
        <f>HYPERLINK("https://parts-sales.ru/parts/MAN/81254330243","81.25433-0243")</f>
        <v>81.25433-0243</v>
      </c>
      <c r="B2045" s="13" t="str">
        <f>HYPERLINK("https://parts-sales.ru/parts/MAN/81254330243","Адаптер Гофрированная труба")</f>
        <v>Адаптер Гофрированная труба</v>
      </c>
      <c r="C2045" s="5" t="s">
        <v>8</v>
      </c>
      <c r="D2045" s="6">
        <v>116.4</v>
      </c>
      <c r="E2045" s="6">
        <v>21</v>
      </c>
      <c r="F2045" s="9">
        <v>0.82</v>
      </c>
      <c r="H2045" s="11"/>
      <c r="I2045" s="11"/>
      <c r="J2045" s="11"/>
    </row>
    <row r="2046" spans="1:10" ht="15.75" x14ac:dyDescent="0.3">
      <c r="A2046" s="12" t="str">
        <f>HYPERLINK("https://parts-sales.ru/parts/MAN/81254330244","81.25433-0244")</f>
        <v>81.25433-0244</v>
      </c>
      <c r="B2046" s="12" t="str">
        <f>HYPERLINK("https://parts-sales.ru/parts/MAN/81254330244","Адаптер 21-полюсный")</f>
        <v>Адаптер 21-полюсный</v>
      </c>
      <c r="C2046" s="3" t="s">
        <v>8</v>
      </c>
      <c r="D2046" s="4">
        <v>781.2</v>
      </c>
      <c r="E2046" s="4">
        <v>166</v>
      </c>
      <c r="F2046" s="8">
        <v>0.79</v>
      </c>
      <c r="H2046" s="11"/>
      <c r="I2046" s="11"/>
      <c r="J2046" s="11"/>
    </row>
    <row r="2047" spans="1:10" ht="15.75" x14ac:dyDescent="0.3">
      <c r="A2047" s="13" t="str">
        <f>HYPERLINK("https://parts-sales.ru/parts/MAN/81254330252","81.25433-0252")</f>
        <v>81.25433-0252</v>
      </c>
      <c r="B2047" s="13" t="str">
        <f>HYPERLINK("https://parts-sales.ru/parts/MAN/81254330252","Распределительная часть NW10-8,5-10-PA66")</f>
        <v>Распределительная часть NW10-8,5-10-PA66</v>
      </c>
      <c r="C2047" s="5" t="s">
        <v>8</v>
      </c>
      <c r="D2047" s="6">
        <v>715.2</v>
      </c>
      <c r="E2047" s="6">
        <v>172</v>
      </c>
      <c r="F2047" s="9">
        <v>0.76</v>
      </c>
      <c r="H2047" s="11"/>
      <c r="I2047" s="11"/>
      <c r="J2047" s="11"/>
    </row>
    <row r="2048" spans="1:10" ht="15.75" x14ac:dyDescent="0.3">
      <c r="A2048" s="12" t="str">
        <f>HYPERLINK("https://parts-sales.ru/parts/MAN/81254330254","81.25433-0254")</f>
        <v>81.25433-0254</v>
      </c>
      <c r="B2048" s="12" t="str">
        <f>HYPERLINK("https://parts-sales.ru/parts/MAN/81254330254","Адаптер AMP/NW13-PA66-SW-AW79")</f>
        <v>Адаптер AMP/NW13-PA66-SW-AW79</v>
      </c>
      <c r="C2048" s="3" t="s">
        <v>8</v>
      </c>
      <c r="D2048" s="4">
        <v>810</v>
      </c>
      <c r="E2048" s="4">
        <v>170</v>
      </c>
      <c r="F2048" s="8">
        <v>0.79</v>
      </c>
      <c r="H2048" s="11"/>
      <c r="I2048" s="11"/>
      <c r="J2048" s="11"/>
    </row>
    <row r="2049" spans="1:10" ht="15.75" x14ac:dyDescent="0.3">
      <c r="A2049" s="13" t="str">
        <f>HYPERLINK("https://parts-sales.ru/parts/MAN/81254330257","81.25433-0257")</f>
        <v>81.25433-0257</v>
      </c>
      <c r="B2049" s="13" t="str">
        <f>HYPERLINK("https://parts-sales.ru/parts/MAN/81254330257","Адаптер A-RB/NW4,5-AW62")</f>
        <v>Адаптер A-RB/NW4,5-AW62</v>
      </c>
      <c r="C2049" s="5" t="s">
        <v>8</v>
      </c>
      <c r="D2049" s="6">
        <v>1717.2</v>
      </c>
      <c r="E2049" s="6">
        <v>408</v>
      </c>
      <c r="F2049" s="9">
        <v>0.76</v>
      </c>
      <c r="H2049" s="11"/>
      <c r="I2049" s="11"/>
      <c r="J2049" s="11"/>
    </row>
    <row r="2050" spans="1:10" ht="15.75" x14ac:dyDescent="0.3">
      <c r="A2050" s="12" t="str">
        <f>HYPERLINK("https://parts-sales.ru/parts/MAN/81254330270","81.25433-0270")</f>
        <v>81.25433-0270</v>
      </c>
      <c r="B2050" s="12" t="str">
        <f>HYPERLINK("https://parts-sales.ru/parts/MAN/81254330270","Распределительная часть NW10-10-10-PA66-")</f>
        <v>Распределительная часть NW10-10-10-PA66-</v>
      </c>
      <c r="C2050" s="3" t="s">
        <v>8</v>
      </c>
      <c r="D2050" s="4">
        <v>751.2</v>
      </c>
      <c r="E2050" s="4">
        <v>164</v>
      </c>
      <c r="F2050" s="8">
        <v>0.78</v>
      </c>
      <c r="H2050" s="11"/>
      <c r="I2050" s="11"/>
      <c r="J2050" s="11"/>
    </row>
    <row r="2051" spans="1:10" ht="15.75" x14ac:dyDescent="0.3">
      <c r="A2051" s="13" t="str">
        <f>HYPERLINK("https://parts-sales.ru/parts/MAN/81254330276","81.25433-0276")</f>
        <v>81.25433-0276</v>
      </c>
      <c r="B2051" s="13" t="str">
        <f>HYPERLINK("https://parts-sales.ru/parts/MAN/81254330276","Угловой адаптер")</f>
        <v>Угловой адаптер</v>
      </c>
      <c r="C2051" s="5" t="s">
        <v>8</v>
      </c>
      <c r="D2051" s="6">
        <v>541.20000000000005</v>
      </c>
      <c r="E2051" s="6">
        <v>124</v>
      </c>
      <c r="F2051" s="9">
        <v>0.77</v>
      </c>
      <c r="H2051" s="11"/>
      <c r="I2051" s="11"/>
      <c r="J2051" s="11"/>
    </row>
    <row r="2052" spans="1:10" ht="15.75" x14ac:dyDescent="0.3">
      <c r="A2052" s="12" t="str">
        <f>HYPERLINK("https://parts-sales.ru/parts/MAN/81254330289","81.25433-0289")</f>
        <v>81.25433-0289</v>
      </c>
      <c r="B2052" s="12" t="str">
        <f>HYPERLINK("https://parts-sales.ru/parts/MAN/81254330289","Адаптер 180°")</f>
        <v>Адаптер 180°</v>
      </c>
      <c r="C2052" s="3" t="s">
        <v>8</v>
      </c>
      <c r="D2052" s="4">
        <v>608.4</v>
      </c>
      <c r="E2052" s="4">
        <v>129</v>
      </c>
      <c r="F2052" s="8">
        <v>0.79</v>
      </c>
      <c r="H2052" s="11"/>
      <c r="I2052" s="11"/>
      <c r="J2052" s="11"/>
    </row>
    <row r="2053" spans="1:10" ht="15.75" x14ac:dyDescent="0.3">
      <c r="A2053" s="13" t="str">
        <f>HYPERLINK("https://parts-sales.ru/parts/MAN/81254330295","81.25433-0295")</f>
        <v>81.25433-0295</v>
      </c>
      <c r="B2053" s="13" t="str">
        <f>HYPERLINK("https://parts-sales.ru/parts/MAN/81254330295","Адаптер  90° HDSCS-B-NW 8,5")</f>
        <v>Адаптер  90° HDSCS-B-NW 8,5</v>
      </c>
      <c r="C2053" s="5" t="s">
        <v>8</v>
      </c>
      <c r="D2053" s="6">
        <v>436.8</v>
      </c>
      <c r="E2053" s="6">
        <v>103</v>
      </c>
      <c r="F2053" s="9">
        <v>0.76</v>
      </c>
      <c r="H2053" s="11"/>
      <c r="I2053" s="11"/>
      <c r="J2053" s="11"/>
    </row>
    <row r="2054" spans="1:10" ht="15.75" x14ac:dyDescent="0.3">
      <c r="A2054" s="12" t="str">
        <f>HYPERLINK("https://parts-sales.ru/parts/MAN/81254335021","81.25433-5021")</f>
        <v>81.25433-5021</v>
      </c>
      <c r="B2054" s="12" t="str">
        <f>HYPERLINK("https://parts-sales.ru/parts/MAN/81254335021","Держатель")</f>
        <v>Держатель</v>
      </c>
      <c r="C2054" s="3" t="s">
        <v>8</v>
      </c>
      <c r="D2054" s="4">
        <v>2902.8</v>
      </c>
      <c r="E2054" s="4">
        <v>104</v>
      </c>
      <c r="F2054" s="8">
        <v>0.96</v>
      </c>
      <c r="H2054" s="11"/>
      <c r="I2054" s="11"/>
      <c r="J2054" s="11"/>
    </row>
    <row r="2055" spans="1:10" ht="15.75" x14ac:dyDescent="0.3">
      <c r="A2055" s="13" t="str">
        <f>HYPERLINK("https://parts-sales.ru/parts/MAN/81254350243","81.25435-0243")</f>
        <v>81.25435-0243</v>
      </c>
      <c r="B2055" s="13" t="str">
        <f>HYPERLINK("https://parts-sales.ru/parts/MAN/81254350243","Цоколь реле 7-2,8-6,3-SW")</f>
        <v>Цоколь реле 7-2,8-6,3-SW</v>
      </c>
      <c r="C2055" s="5" t="s">
        <v>8</v>
      </c>
      <c r="D2055" s="6">
        <v>1521.6</v>
      </c>
      <c r="E2055" s="6">
        <v>235</v>
      </c>
      <c r="F2055" s="9">
        <v>0.85</v>
      </c>
      <c r="H2055" s="11"/>
      <c r="I2055" s="11"/>
      <c r="J2055" s="11"/>
    </row>
    <row r="2056" spans="1:10" ht="15.75" x14ac:dyDescent="0.3">
      <c r="A2056" s="12" t="str">
        <f>HYPERLINK("https://parts-sales.ru/parts/MAN/81254350278","81.25435-0278")</f>
        <v>81.25435-0278</v>
      </c>
      <c r="B2056" s="12" t="str">
        <f>HYPERLINK("https://parts-sales.ru/parts/MAN/81254350278","Цоколь реле 9-2,8-6,3-9,5-SW")</f>
        <v>Цоколь реле 9-2,8-6,3-9,5-SW</v>
      </c>
      <c r="C2056" s="3" t="s">
        <v>8</v>
      </c>
      <c r="D2056" s="4">
        <v>1162.8</v>
      </c>
      <c r="E2056" s="4">
        <v>261</v>
      </c>
      <c r="F2056" s="8">
        <v>0.78</v>
      </c>
      <c r="H2056" s="11"/>
      <c r="I2056" s="11"/>
      <c r="J2056" s="11"/>
    </row>
    <row r="2057" spans="1:10" ht="15.75" x14ac:dyDescent="0.3">
      <c r="A2057" s="13" t="str">
        <f>HYPERLINK("https://parts-sales.ru/parts/MAN/81254350354","81.25435-0354")</f>
        <v>81.25435-0354</v>
      </c>
      <c r="B2057" s="13" t="str">
        <f>HYPERLINK("https://parts-sales.ru/parts/MAN/81254350354","Корпус штепс. гильзы 1-полюсный")</f>
        <v>Корпус штепс. гильзы 1-полюсный</v>
      </c>
      <c r="C2057" s="5" t="s">
        <v>8</v>
      </c>
      <c r="D2057" s="6">
        <v>513.6</v>
      </c>
      <c r="E2057" s="6">
        <v>41</v>
      </c>
      <c r="F2057" s="9">
        <v>0.92</v>
      </c>
      <c r="H2057" s="11"/>
      <c r="I2057" s="11"/>
      <c r="J2057" s="11"/>
    </row>
    <row r="2058" spans="1:10" ht="15.75" x14ac:dyDescent="0.3">
      <c r="A2058" s="12" t="str">
        <f>HYPERLINK("https://parts-sales.ru/parts/MAN/81254350433","81.25435-0433")</f>
        <v>81.25435-0433</v>
      </c>
      <c r="B2058" s="12" t="str">
        <f>HYPERLINK("https://parts-sales.ru/parts/MAN/81254350433","Цоколь реле 9-2,8-6,3-NF")</f>
        <v>Цоколь реле 9-2,8-6,3-NF</v>
      </c>
      <c r="C2058" s="3" t="s">
        <v>8</v>
      </c>
      <c r="D2058" s="4">
        <v>1068</v>
      </c>
      <c r="E2058" s="4">
        <v>277</v>
      </c>
      <c r="F2058" s="8">
        <v>0.74</v>
      </c>
      <c r="H2058" s="11"/>
      <c r="I2058" s="11"/>
      <c r="J2058" s="11"/>
    </row>
    <row r="2059" spans="1:10" ht="15.75" x14ac:dyDescent="0.3">
      <c r="A2059" s="13" t="str">
        <f>HYPERLINK("https://parts-sales.ru/parts/MAN/81254350472","81.25435-0472")</f>
        <v>81.25435-0472</v>
      </c>
      <c r="B2059" s="13" t="str">
        <f>HYPERLINK("https://parts-sales.ru/parts/MAN/81254350472","Корпус штепс. гильзы 4,8")</f>
        <v>Корпус штепс. гильзы 4,8</v>
      </c>
      <c r="C2059" s="5" t="s">
        <v>8</v>
      </c>
      <c r="D2059" s="6">
        <v>973.2</v>
      </c>
      <c r="E2059" s="6">
        <v>187</v>
      </c>
      <c r="F2059" s="9">
        <v>0.81</v>
      </c>
      <c r="H2059" s="11"/>
      <c r="I2059" s="11"/>
      <c r="J2059" s="11"/>
    </row>
    <row r="2060" spans="1:10" ht="15.75" x14ac:dyDescent="0.3">
      <c r="A2060" s="12" t="str">
        <f>HYPERLINK("https://parts-sales.ru/parts/MAN/81254350474","81.25435-0474")</f>
        <v>81.25435-0474</v>
      </c>
      <c r="B2060" s="12" t="str">
        <f>HYPERLINK("https://parts-sales.ru/parts/MAN/81254350474","Корпус штекера 2-5,8-NF")</f>
        <v>Корпус штекера 2-5,8-NF</v>
      </c>
      <c r="C2060" s="3" t="s">
        <v>8</v>
      </c>
      <c r="D2060" s="4">
        <v>847.2</v>
      </c>
      <c r="E2060" s="4">
        <v>157</v>
      </c>
      <c r="F2060" s="8">
        <v>0.81</v>
      </c>
      <c r="H2060" s="11"/>
      <c r="I2060" s="11"/>
      <c r="J2060" s="11"/>
    </row>
    <row r="2061" spans="1:10" ht="15.75" x14ac:dyDescent="0.3">
      <c r="A2061" s="13" t="str">
        <f>HYPERLINK("https://parts-sales.ru/parts/MAN/81254350475","81.25435-0475")</f>
        <v>81.25435-0475</v>
      </c>
      <c r="B2061" s="13" t="str">
        <f>HYPERLINK("https://parts-sales.ru/parts/MAN/81254350475","Корпус штекера 2-6,3-NF")</f>
        <v>Корпус штекера 2-6,3-NF</v>
      </c>
      <c r="C2061" s="5" t="s">
        <v>8</v>
      </c>
      <c r="D2061" s="6">
        <v>847.2</v>
      </c>
      <c r="E2061" s="6">
        <v>171</v>
      </c>
      <c r="F2061" s="9">
        <v>0.8</v>
      </c>
      <c r="H2061" s="11"/>
      <c r="I2061" s="11"/>
      <c r="J2061" s="11"/>
    </row>
    <row r="2062" spans="1:10" ht="15.75" x14ac:dyDescent="0.3">
      <c r="A2062" s="12" t="str">
        <f>HYPERLINK("https://parts-sales.ru/parts/MAN/81254350496","81.25435-0496")</f>
        <v>81.25435-0496</v>
      </c>
      <c r="B2062" s="12" t="str">
        <f>HYPERLINK("https://parts-sales.ru/parts/MAN/81254350496","Уплотнение без асбеста")</f>
        <v>Уплотнение без асбеста</v>
      </c>
      <c r="C2062" s="3" t="s">
        <v>8</v>
      </c>
      <c r="D2062" s="4">
        <v>1885.2</v>
      </c>
      <c r="E2062" s="4">
        <v>402</v>
      </c>
      <c r="F2062" s="8">
        <v>0.79</v>
      </c>
      <c r="H2062" s="11"/>
      <c r="I2062" s="11"/>
      <c r="J2062" s="11"/>
    </row>
    <row r="2063" spans="1:10" ht="15.75" x14ac:dyDescent="0.3">
      <c r="A2063" s="13" t="str">
        <f>HYPERLINK("https://parts-sales.ru/parts/MAN/81254350498","81.25435-0498")</f>
        <v>81.25435-0498</v>
      </c>
      <c r="B2063" s="13" t="str">
        <f>HYPERLINK("https://parts-sales.ru/parts/MAN/81254350498","Уплотнение 4-отверстный")</f>
        <v>Уплотнение 4-отверстный</v>
      </c>
      <c r="C2063" s="5" t="s">
        <v>8</v>
      </c>
      <c r="D2063" s="6">
        <v>2184</v>
      </c>
      <c r="E2063" s="6">
        <v>371</v>
      </c>
      <c r="F2063" s="9">
        <v>0.83</v>
      </c>
      <c r="H2063" s="11"/>
      <c r="I2063" s="11"/>
      <c r="J2063" s="11"/>
    </row>
    <row r="2064" spans="1:10" ht="15.75" x14ac:dyDescent="0.3">
      <c r="A2064" s="12" t="str">
        <f>HYPERLINK("https://parts-sales.ru/parts/MAN/81254350511","81.25435-0511")</f>
        <v>81.25435-0511</v>
      </c>
      <c r="B2064" s="12" t="str">
        <f>HYPERLINK("https://parts-sales.ru/parts/MAN/81254350511","Стыковой соединитель проводов 4,0-6,0-GE")</f>
        <v>Стыковой соединитель проводов 4,0-6,0-GE</v>
      </c>
      <c r="C2064" s="3" t="s">
        <v>8</v>
      </c>
      <c r="D2064" s="4">
        <v>790.8</v>
      </c>
      <c r="E2064" s="4">
        <v>205</v>
      </c>
      <c r="F2064" s="8">
        <v>0.74</v>
      </c>
      <c r="H2064" s="11"/>
      <c r="I2064" s="11"/>
      <c r="J2064" s="11"/>
    </row>
    <row r="2065" spans="1:10" ht="15.75" x14ac:dyDescent="0.3">
      <c r="A2065" s="13" t="str">
        <f>HYPERLINK("https://parts-sales.ru/parts/MAN/81254350641","81.25435-0641")</f>
        <v>81.25435-0641</v>
      </c>
      <c r="B2065" s="13" t="str">
        <f>HYPERLINK("https://parts-sales.ru/parts/MAN/81254350641","Корпус штекера A-2-2,8-/ST-SW")</f>
        <v>Корпус штекера A-2-2,8-/ST-SW</v>
      </c>
      <c r="C2065" s="5" t="s">
        <v>8</v>
      </c>
      <c r="D2065" s="6">
        <v>1035.5999999999999</v>
      </c>
      <c r="E2065" s="6">
        <v>298</v>
      </c>
      <c r="F2065" s="9">
        <v>0.71</v>
      </c>
      <c r="H2065" s="11"/>
      <c r="I2065" s="11"/>
      <c r="J2065" s="11"/>
    </row>
    <row r="2066" spans="1:10" ht="15.75" x14ac:dyDescent="0.3">
      <c r="A2066" s="12" t="str">
        <f>HYPERLINK("https://parts-sales.ru/parts/MAN/81254350643","81.25435-0643")</f>
        <v>81.25435-0643</v>
      </c>
      <c r="B2066" s="12" t="str">
        <f>HYPERLINK("https://parts-sales.ru/parts/MAN/81254350643","Корпус штекера B-3-2,8-/ST-SW")</f>
        <v>Корпус штекера B-3-2,8-/ST-SW</v>
      </c>
      <c r="C2066" s="3" t="s">
        <v>8</v>
      </c>
      <c r="D2066" s="4">
        <v>1029.5999999999999</v>
      </c>
      <c r="E2066" s="4">
        <v>203</v>
      </c>
      <c r="F2066" s="8">
        <v>0.8</v>
      </c>
      <c r="H2066" s="11"/>
      <c r="I2066" s="11"/>
      <c r="J2066" s="11"/>
    </row>
    <row r="2067" spans="1:10" ht="15.75" x14ac:dyDescent="0.3">
      <c r="A2067" s="13" t="str">
        <f>HYPERLINK("https://parts-sales.ru/parts/MAN/81254350644","81.25435-0644")</f>
        <v>81.25435-0644</v>
      </c>
      <c r="B2067" s="13" t="str">
        <f>HYPERLINK("https://parts-sales.ru/parts/MAN/81254350644","Корпус штекера B-3-2,8-/ST-SW")</f>
        <v>Корпус штекера B-3-2,8-/ST-SW</v>
      </c>
      <c r="C2067" s="5" t="s">
        <v>8</v>
      </c>
      <c r="D2067" s="6">
        <v>1188</v>
      </c>
      <c r="E2067" s="6">
        <v>116</v>
      </c>
      <c r="F2067" s="9">
        <v>0.9</v>
      </c>
      <c r="H2067" s="11"/>
      <c r="I2067" s="11"/>
      <c r="J2067" s="11"/>
    </row>
    <row r="2068" spans="1:10" ht="15.75" x14ac:dyDescent="0.3">
      <c r="A2068" s="12" t="str">
        <f>HYPERLINK("https://parts-sales.ru/parts/MAN/81254350680","81.25435-0680")</f>
        <v>81.25435-0680</v>
      </c>
      <c r="B2068" s="12" t="str">
        <f>HYPERLINK("https://parts-sales.ru/parts/MAN/81254350680","Корпус штекера 8-полюсный")</f>
        <v>Корпус штекера 8-полюсный</v>
      </c>
      <c r="C2068" s="3" t="s">
        <v>8</v>
      </c>
      <c r="D2068" s="4">
        <v>1351.2</v>
      </c>
      <c r="E2068" s="4">
        <v>196</v>
      </c>
      <c r="F2068" s="8">
        <v>0.85</v>
      </c>
      <c r="H2068" s="11"/>
      <c r="I2068" s="11"/>
      <c r="J2068" s="11"/>
    </row>
    <row r="2069" spans="1:10" ht="15.75" x14ac:dyDescent="0.3">
      <c r="A2069" s="13" t="str">
        <f>HYPERLINK("https://parts-sales.ru/parts/MAN/81254350698","81.25435-0698")</f>
        <v>81.25435-0698</v>
      </c>
      <c r="B2069" s="13" t="str">
        <f>HYPERLINK("https://parts-sales.ru/parts/MAN/81254350698","Золотник 6-полюсный")</f>
        <v>Золотник 6-полюсный</v>
      </c>
      <c r="C2069" s="5" t="s">
        <v>8</v>
      </c>
      <c r="D2069" s="6">
        <v>201.6</v>
      </c>
      <c r="E2069" s="6">
        <v>26</v>
      </c>
      <c r="F2069" s="9">
        <v>0.87</v>
      </c>
      <c r="H2069" s="11"/>
      <c r="I2069" s="11"/>
      <c r="J2069" s="11"/>
    </row>
    <row r="2070" spans="1:10" ht="15.75" x14ac:dyDescent="0.3">
      <c r="A2070" s="12" t="str">
        <f>HYPERLINK("https://parts-sales.ru/parts/MAN/81254350699","81.25435-0699")</f>
        <v>81.25435-0699</v>
      </c>
      <c r="B2070" s="12" t="str">
        <f>HYPERLINK("https://parts-sales.ru/parts/MAN/81254350699","Золотник 3-полюсный")</f>
        <v>Золотник 3-полюсный</v>
      </c>
      <c r="C2070" s="3" t="s">
        <v>8</v>
      </c>
      <c r="D2070" s="4">
        <v>162</v>
      </c>
      <c r="E2070" s="4">
        <v>32</v>
      </c>
      <c r="F2070" s="8">
        <v>0.8</v>
      </c>
      <c r="H2070" s="11"/>
      <c r="I2070" s="11"/>
      <c r="J2070" s="11"/>
    </row>
    <row r="2071" spans="1:10" ht="15.75" x14ac:dyDescent="0.3">
      <c r="A2071" s="13" t="str">
        <f>HYPERLINK("https://parts-sales.ru/parts/MAN/81254350700","81.25435-0700")</f>
        <v>81.25435-0700</v>
      </c>
      <c r="B2071" s="13" t="str">
        <f>HYPERLINK("https://parts-sales.ru/parts/MAN/81254350700","Корпус штекера 3-17,6X7,4-2,8-CODE1-NF")</f>
        <v>Корпус штекера 3-17,6X7,4-2,8-CODE1-NF</v>
      </c>
      <c r="C2071" s="5" t="s">
        <v>8</v>
      </c>
      <c r="D2071" s="6">
        <v>675.6</v>
      </c>
      <c r="E2071" s="6">
        <v>126</v>
      </c>
      <c r="F2071" s="9">
        <v>0.81</v>
      </c>
      <c r="H2071" s="11"/>
      <c r="I2071" s="11"/>
      <c r="J2071" s="11"/>
    </row>
    <row r="2072" spans="1:10" ht="15.75" x14ac:dyDescent="0.3">
      <c r="A2072" s="12" t="str">
        <f>HYPERLINK("https://parts-sales.ru/parts/MAN/81254350702","81.25435-0702")</f>
        <v>81.25435-0702</v>
      </c>
      <c r="B2072" s="12" t="str">
        <f>HYPERLINK("https://parts-sales.ru/parts/MAN/81254350702","Корпус штекера 3-17,6X7,4-2,8-CODE1-RT")</f>
        <v>Корпус штекера 3-17,6X7,4-2,8-CODE1-RT</v>
      </c>
      <c r="C2072" s="3" t="s">
        <v>8</v>
      </c>
      <c r="D2072" s="4">
        <v>675.6</v>
      </c>
      <c r="E2072" s="4">
        <v>155</v>
      </c>
      <c r="F2072" s="8">
        <v>0.77</v>
      </c>
      <c r="H2072" s="11"/>
      <c r="I2072" s="11"/>
      <c r="J2072" s="11"/>
    </row>
    <row r="2073" spans="1:10" ht="15.75" x14ac:dyDescent="0.3">
      <c r="A2073" s="13" t="str">
        <f>HYPERLINK("https://parts-sales.ru/parts/MAN/81254350717","81.25435-0717")</f>
        <v>81.25435-0717</v>
      </c>
      <c r="B2073" s="13" t="str">
        <f>HYPERLINK("https://parts-sales.ru/parts/MAN/81254350717","Корпус штекера 3-17,6X7,4-2,8-CODE4-RT")</f>
        <v>Корпус штекера 3-17,6X7,4-2,8-CODE4-RT</v>
      </c>
      <c r="C2073" s="5" t="s">
        <v>8</v>
      </c>
      <c r="D2073" s="6">
        <v>938.4</v>
      </c>
      <c r="E2073" s="6">
        <v>118</v>
      </c>
      <c r="F2073" s="9">
        <v>0.87</v>
      </c>
      <c r="H2073" s="11"/>
      <c r="I2073" s="11"/>
      <c r="J2073" s="11"/>
    </row>
    <row r="2074" spans="1:10" ht="15.75" x14ac:dyDescent="0.3">
      <c r="A2074" s="12" t="str">
        <f>HYPERLINK("https://parts-sales.ru/parts/MAN/81254350743","81.25435-0743")</f>
        <v>81.25435-0743</v>
      </c>
      <c r="B2074" s="12" t="str">
        <f>HYPERLINK("https://parts-sales.ru/parts/MAN/81254350743","Корпус штекера 6-17,6X12,4-2,8-CODE4-GE")</f>
        <v>Корпус штекера 6-17,6X12,4-2,8-CODE4-GE</v>
      </c>
      <c r="C2074" s="3" t="s">
        <v>8</v>
      </c>
      <c r="D2074" s="4">
        <v>800.4</v>
      </c>
      <c r="E2074" s="4">
        <v>164</v>
      </c>
      <c r="F2074" s="8">
        <v>0.8</v>
      </c>
      <c r="H2074" s="11"/>
      <c r="I2074" s="11"/>
      <c r="J2074" s="11"/>
    </row>
    <row r="2075" spans="1:10" ht="15.75" x14ac:dyDescent="0.3">
      <c r="A2075" s="13" t="str">
        <f>HYPERLINK("https://parts-sales.ru/parts/MAN/81254350744","81.25435-0744")</f>
        <v>81.25435-0744</v>
      </c>
      <c r="B2075" s="13" t="str">
        <f>HYPERLINK("https://parts-sales.ru/parts/MAN/81254350744","Корпус штекера 6-17,6X12,4-2,8-CODE4-BL")</f>
        <v>Корпус штекера 6-17,6X12,4-2,8-CODE4-BL</v>
      </c>
      <c r="C2075" s="5" t="s">
        <v>8</v>
      </c>
      <c r="D2075" s="6">
        <v>800.4</v>
      </c>
      <c r="E2075" s="6">
        <v>163</v>
      </c>
      <c r="F2075" s="9">
        <v>0.8</v>
      </c>
      <c r="H2075" s="11"/>
      <c r="I2075" s="11"/>
      <c r="J2075" s="11"/>
    </row>
    <row r="2076" spans="1:10" ht="15.75" x14ac:dyDescent="0.3">
      <c r="A2076" s="12" t="str">
        <f>HYPERLINK("https://parts-sales.ru/parts/MAN/81254350750","81.25435-0750")</f>
        <v>81.25435-0750</v>
      </c>
      <c r="B2076" s="12" t="str">
        <f>HYPERLINK("https://parts-sales.ru/parts/MAN/81254350750","Корпус штекера 3-29,5X9,9-2,8-CODE1-NF")</f>
        <v>Корпус штекера 3-29,5X9,9-2,8-CODE1-NF</v>
      </c>
      <c r="C2076" s="3" t="s">
        <v>8</v>
      </c>
      <c r="D2076" s="4">
        <v>688.8</v>
      </c>
      <c r="E2076" s="4">
        <v>164</v>
      </c>
      <c r="F2076" s="8">
        <v>0.76</v>
      </c>
      <c r="H2076" s="11"/>
      <c r="I2076" s="11"/>
      <c r="J2076" s="11"/>
    </row>
    <row r="2077" spans="1:10" ht="15.75" x14ac:dyDescent="0.3">
      <c r="A2077" s="13" t="str">
        <f>HYPERLINK("https://parts-sales.ru/parts/MAN/81254350753","81.25435-0753")</f>
        <v>81.25435-0753</v>
      </c>
      <c r="B2077" s="13" t="str">
        <f>HYPERLINK("https://parts-sales.ru/parts/MAN/81254350753","Корпус штекера 3-29,5X9,9-2,8-CODE1-GE")</f>
        <v>Корпус штекера 3-29,5X9,9-2,8-CODE1-GE</v>
      </c>
      <c r="C2077" s="5" t="s">
        <v>8</v>
      </c>
      <c r="D2077" s="6">
        <v>675.6</v>
      </c>
      <c r="E2077" s="6">
        <v>60</v>
      </c>
      <c r="F2077" s="9">
        <v>0.91</v>
      </c>
      <c r="H2077" s="11"/>
      <c r="I2077" s="11"/>
      <c r="J2077" s="11"/>
    </row>
    <row r="2078" spans="1:10" ht="15.75" x14ac:dyDescent="0.3">
      <c r="A2078" s="12" t="str">
        <f>HYPERLINK("https://parts-sales.ru/parts/MAN/81254350755","81.25435-0755")</f>
        <v>81.25435-0755</v>
      </c>
      <c r="B2078" s="12" t="str">
        <f>HYPERLINK("https://parts-sales.ru/parts/MAN/81254350755","Корпус штекера 3-29,5X9,9-2,8-CODE2-NF")</f>
        <v>Корпус штекера 3-29,5X9,9-2,8-CODE2-NF</v>
      </c>
      <c r="C2078" s="3" t="s">
        <v>8</v>
      </c>
      <c r="D2078" s="4">
        <v>688.8</v>
      </c>
      <c r="E2078" s="4">
        <v>118</v>
      </c>
      <c r="F2078" s="8">
        <v>0.83</v>
      </c>
      <c r="H2078" s="11"/>
      <c r="I2078" s="11"/>
      <c r="J2078" s="11"/>
    </row>
    <row r="2079" spans="1:10" ht="15.75" x14ac:dyDescent="0.3">
      <c r="A2079" s="13" t="str">
        <f>HYPERLINK("https://parts-sales.ru/parts/MAN/81254350776","81.25435-0776")</f>
        <v>81.25435-0776</v>
      </c>
      <c r="B2079" s="13" t="str">
        <f>HYPERLINK("https://parts-sales.ru/parts/MAN/81254350776","Корпус штекера 6-29,5X14,9-2,8-CODE1-SW")</f>
        <v>Корпус штекера 6-29,5X14,9-2,8-CODE1-SW</v>
      </c>
      <c r="C2079" s="5" t="s">
        <v>8</v>
      </c>
      <c r="D2079" s="6">
        <v>748.8</v>
      </c>
      <c r="E2079" s="6">
        <v>192</v>
      </c>
      <c r="F2079" s="9">
        <v>0.74</v>
      </c>
      <c r="H2079" s="11"/>
      <c r="I2079" s="11"/>
      <c r="J2079" s="11"/>
    </row>
    <row r="2080" spans="1:10" ht="15.75" x14ac:dyDescent="0.3">
      <c r="A2080" s="12" t="str">
        <f>HYPERLINK("https://parts-sales.ru/parts/MAN/81254350778","81.25435-0778")</f>
        <v>81.25435-0778</v>
      </c>
      <c r="B2080" s="12" t="str">
        <f>HYPERLINK("https://parts-sales.ru/parts/MAN/81254350778","Корпус штекера 6-29,5X14,9-2,8-CODE1-GE")</f>
        <v>Корпус штекера 6-29,5X14,9-2,8-CODE1-GE</v>
      </c>
      <c r="C2080" s="3" t="s">
        <v>8</v>
      </c>
      <c r="D2080" s="4">
        <v>748.8</v>
      </c>
      <c r="E2080" s="4">
        <v>175</v>
      </c>
      <c r="F2080" s="8">
        <v>0.77</v>
      </c>
      <c r="H2080" s="11"/>
      <c r="I2080" s="11"/>
      <c r="J2080" s="11"/>
    </row>
    <row r="2081" spans="1:10" ht="15.75" x14ac:dyDescent="0.3">
      <c r="A2081" s="13" t="str">
        <f>HYPERLINK("https://parts-sales.ru/parts/MAN/81254350793","81.25435-0793")</f>
        <v>81.25435-0793</v>
      </c>
      <c r="B2081" s="13" t="str">
        <f>HYPERLINK("https://parts-sales.ru/parts/MAN/81254350793","Корпус штекера 6-29,5X14,9-2,8-CODE4-GE")</f>
        <v>Корпус штекера 6-29,5X14,9-2,8-CODE4-GE</v>
      </c>
      <c r="C2081" s="5" t="s">
        <v>8</v>
      </c>
      <c r="D2081" s="6">
        <v>894</v>
      </c>
      <c r="E2081" s="6">
        <v>160</v>
      </c>
      <c r="F2081" s="9">
        <v>0.82</v>
      </c>
      <c r="H2081" s="11"/>
      <c r="I2081" s="11"/>
      <c r="J2081" s="11"/>
    </row>
    <row r="2082" spans="1:10" ht="15.75" x14ac:dyDescent="0.3">
      <c r="A2082" s="12" t="str">
        <f>HYPERLINK("https://parts-sales.ru/parts/MAN/81254350794","81.25435-0794")</f>
        <v>81.25435-0794</v>
      </c>
      <c r="B2082" s="12" t="str">
        <f>HYPERLINK("https://parts-sales.ru/parts/MAN/81254350794","Корпус штекера 6-29,5X14,9-2,8-CODE4-BL")</f>
        <v>Корпус штекера 6-29,5X14,9-2,8-CODE4-BL</v>
      </c>
      <c r="C2082" s="3" t="s">
        <v>8</v>
      </c>
      <c r="D2082" s="4">
        <v>867.6</v>
      </c>
      <c r="E2082" s="4">
        <v>158</v>
      </c>
      <c r="F2082" s="8">
        <v>0.82</v>
      </c>
      <c r="H2082" s="11"/>
      <c r="I2082" s="11"/>
      <c r="J2082" s="11"/>
    </row>
    <row r="2083" spans="1:10" ht="15.75" x14ac:dyDescent="0.3">
      <c r="A2083" s="13" t="str">
        <f>HYPERLINK("https://parts-sales.ru/parts/MAN/81254350842","81.25435-0842")</f>
        <v>81.25435-0842</v>
      </c>
      <c r="B2083" s="13" t="str">
        <f>HYPERLINK("https://parts-sales.ru/parts/MAN/81254350842","Заглушка 4-полюсный")</f>
        <v>Заглушка 4-полюсный</v>
      </c>
      <c r="C2083" s="5" t="s">
        <v>8</v>
      </c>
      <c r="D2083" s="6">
        <v>213.6</v>
      </c>
      <c r="E2083" s="6">
        <v>27</v>
      </c>
      <c r="F2083" s="9">
        <v>0.87</v>
      </c>
      <c r="H2083" s="11"/>
      <c r="I2083" s="11"/>
      <c r="J2083" s="11"/>
    </row>
    <row r="2084" spans="1:10" ht="15.75" x14ac:dyDescent="0.3">
      <c r="A2084" s="12" t="str">
        <f>HYPERLINK("https://parts-sales.ru/parts/MAN/81254350846","81.25435-0846")</f>
        <v>81.25435-0846</v>
      </c>
      <c r="B2084" s="12" t="str">
        <f>HYPERLINK("https://parts-sales.ru/parts/MAN/81254350846","Корпус штекера 3-29,5X9,9-2,8-CODE2-OR")</f>
        <v>Корпус штекера 3-29,5X9,9-2,8-CODE2-OR</v>
      </c>
      <c r="C2084" s="3" t="s">
        <v>8</v>
      </c>
      <c r="D2084" s="4">
        <v>688.8</v>
      </c>
      <c r="E2084" s="4">
        <v>109</v>
      </c>
      <c r="F2084" s="8">
        <v>0.84</v>
      </c>
      <c r="H2084" s="11"/>
      <c r="I2084" s="11"/>
      <c r="J2084" s="11"/>
    </row>
    <row r="2085" spans="1:10" ht="15.75" x14ac:dyDescent="0.3">
      <c r="A2085" s="13" t="str">
        <f>HYPERLINK("https://parts-sales.ru/parts/MAN/81254350852","81.25435-0852")</f>
        <v>81.25435-0852</v>
      </c>
      <c r="B2085" s="13" t="str">
        <f>HYPERLINK("https://parts-sales.ru/parts/MAN/81254350852","Корпус штекера 3-29,5X9,9-2,8-CODE5-OR")</f>
        <v>Корпус штекера 3-29,5X9,9-2,8-CODE5-OR</v>
      </c>
      <c r="C2085" s="5" t="s">
        <v>8</v>
      </c>
      <c r="D2085" s="6">
        <v>688.8</v>
      </c>
      <c r="E2085" s="6">
        <v>169</v>
      </c>
      <c r="F2085" s="9">
        <v>0.75</v>
      </c>
      <c r="H2085" s="11"/>
      <c r="I2085" s="11"/>
      <c r="J2085" s="11"/>
    </row>
    <row r="2086" spans="1:10" ht="15.75" x14ac:dyDescent="0.3">
      <c r="A2086" s="12" t="str">
        <f>HYPERLINK("https://parts-sales.ru/parts/MAN/81254350872","81.25435-0872")</f>
        <v>81.25435-0872</v>
      </c>
      <c r="B2086" s="12" t="str">
        <f>HYPERLINK("https://parts-sales.ru/parts/MAN/81254350872","Корпус штекера 3-17,6X7,4-2,8-CODE5-OR")</f>
        <v>Корпус штекера 3-17,6X7,4-2,8-CODE5-OR</v>
      </c>
      <c r="C2086" s="3" t="s">
        <v>8</v>
      </c>
      <c r="D2086" s="4">
        <v>675.6</v>
      </c>
      <c r="E2086" s="4">
        <v>164</v>
      </c>
      <c r="F2086" s="8">
        <v>0.76</v>
      </c>
      <c r="H2086" s="11"/>
      <c r="I2086" s="11"/>
      <c r="J2086" s="11"/>
    </row>
    <row r="2087" spans="1:10" ht="15.75" x14ac:dyDescent="0.3">
      <c r="A2087" s="13" t="str">
        <f>HYPERLINK("https://parts-sales.ru/parts/MAN/81254350923","81.25435-0923")</f>
        <v>81.25435-0923</v>
      </c>
      <c r="B2087" s="13" t="str">
        <f>HYPERLINK("https://parts-sales.ru/parts/MAN/81254350923","Корпус штекера 18-2,8-CODE1-NF")</f>
        <v>Корпус штекера 18-2,8-CODE1-NF</v>
      </c>
      <c r="C2087" s="5" t="s">
        <v>8</v>
      </c>
      <c r="D2087" s="6">
        <v>1117.2</v>
      </c>
      <c r="E2087" s="6">
        <v>220</v>
      </c>
      <c r="F2087" s="9">
        <v>0.8</v>
      </c>
      <c r="H2087" s="11"/>
      <c r="I2087" s="11"/>
      <c r="J2087" s="11"/>
    </row>
    <row r="2088" spans="1:10" ht="15.75" x14ac:dyDescent="0.3">
      <c r="A2088" s="12" t="str">
        <f>HYPERLINK("https://parts-sales.ru/parts/MAN/81254350958","81.25435-0958")</f>
        <v>81.25435-0958</v>
      </c>
      <c r="B2088" s="12" t="str">
        <f>HYPERLINK("https://parts-sales.ru/parts/MAN/81254350958","Уголковый разъем 8-полюсный")</f>
        <v>Уголковый разъем 8-полюсный</v>
      </c>
      <c r="C2088" s="3" t="s">
        <v>8</v>
      </c>
      <c r="D2088" s="4">
        <v>3154.8</v>
      </c>
      <c r="E2088" s="4">
        <v>388</v>
      </c>
      <c r="F2088" s="8">
        <v>0.88</v>
      </c>
      <c r="H2088" s="11"/>
      <c r="I2088" s="11"/>
      <c r="J2088" s="11"/>
    </row>
    <row r="2089" spans="1:10" ht="15.75" x14ac:dyDescent="0.3">
      <c r="A2089" s="13" t="str">
        <f>HYPERLINK("https://parts-sales.ru/parts/MAN/81254350962","81.25435-0962")</f>
        <v>81.25435-0962</v>
      </c>
      <c r="B2089" s="13" t="str">
        <f>HYPERLINK("https://parts-sales.ru/parts/MAN/81254350962","Корпус штекера 8-25,3X11,35-2,8-CODEB-SW")</f>
        <v>Корпус штекера 8-25,3X11,35-2,8-CODEB-SW</v>
      </c>
      <c r="C2089" s="5" t="s">
        <v>8</v>
      </c>
      <c r="D2089" s="6">
        <v>922.8</v>
      </c>
      <c r="E2089" s="6">
        <v>187</v>
      </c>
      <c r="F2089" s="9">
        <v>0.8</v>
      </c>
      <c r="H2089" s="11"/>
      <c r="I2089" s="11"/>
      <c r="J2089" s="11"/>
    </row>
    <row r="2090" spans="1:10" ht="15.75" x14ac:dyDescent="0.3">
      <c r="A2090" s="12" t="str">
        <f>HYPERLINK("https://parts-sales.ru/parts/MAN/81254350971","81.25435-0971")</f>
        <v>81.25435-0971</v>
      </c>
      <c r="B2090" s="12" t="str">
        <f>HYPERLINK("https://parts-sales.ru/parts/MAN/81254350971","Блокировка GV4")</f>
        <v>Блокировка GV4</v>
      </c>
      <c r="C2090" s="3" t="s">
        <v>8</v>
      </c>
      <c r="D2090" s="4">
        <v>368.4</v>
      </c>
      <c r="E2090" s="4">
        <v>89</v>
      </c>
      <c r="F2090" s="8">
        <v>0.76</v>
      </c>
      <c r="H2090" s="11"/>
      <c r="I2090" s="11"/>
      <c r="J2090" s="11"/>
    </row>
    <row r="2091" spans="1:10" ht="15.75" x14ac:dyDescent="0.3">
      <c r="A2091" s="13" t="str">
        <f>HYPERLINK("https://parts-sales.ru/parts/MAN/81254350972","81.25435-0972")</f>
        <v>81.25435-0972</v>
      </c>
      <c r="B2091" s="13" t="str">
        <f>HYPERLINK("https://parts-sales.ru/parts/MAN/81254350972","Блокировка L=26MM")</f>
        <v>Блокировка L=26MM</v>
      </c>
      <c r="C2091" s="5" t="s">
        <v>8</v>
      </c>
      <c r="D2091" s="6">
        <v>380.53</v>
      </c>
      <c r="E2091" s="6">
        <v>60</v>
      </c>
      <c r="F2091" s="9">
        <v>0.84</v>
      </c>
      <c r="H2091" s="11"/>
      <c r="I2091" s="11"/>
      <c r="J2091" s="11"/>
    </row>
    <row r="2092" spans="1:10" ht="15.75" x14ac:dyDescent="0.3">
      <c r="A2092" s="12" t="str">
        <f>HYPERLINK("https://parts-sales.ru/parts/MAN/81254350974","81.25435-0974")</f>
        <v>81.25435-0974</v>
      </c>
      <c r="B2092" s="12" t="str">
        <f>HYPERLINK("https://parts-sales.ru/parts/MAN/81254350974","Блокировка коричневый")</f>
        <v>Блокировка коричневый</v>
      </c>
      <c r="C2092" s="3" t="s">
        <v>8</v>
      </c>
      <c r="D2092" s="4">
        <v>385.2</v>
      </c>
      <c r="E2092" s="4">
        <v>102</v>
      </c>
      <c r="F2092" s="8">
        <v>0.74</v>
      </c>
      <c r="H2092" s="11"/>
      <c r="I2092" s="11"/>
      <c r="J2092" s="11"/>
    </row>
    <row r="2093" spans="1:10" ht="15.75" x14ac:dyDescent="0.3">
      <c r="A2093" s="13" t="str">
        <f>HYPERLINK("https://parts-sales.ru/parts/MAN/81254350994","81.25435-0994")</f>
        <v>81.25435-0994</v>
      </c>
      <c r="B2093" s="13" t="str">
        <f>HYPERLINK("https://parts-sales.ru/parts/MAN/81254350994","Фиксирующий палец синий")</f>
        <v>Фиксирующий палец синий</v>
      </c>
      <c r="C2093" s="5" t="s">
        <v>8</v>
      </c>
      <c r="D2093" s="6">
        <v>373.2</v>
      </c>
      <c r="E2093" s="6">
        <v>129</v>
      </c>
      <c r="F2093" s="9">
        <v>0.65</v>
      </c>
      <c r="H2093" s="11"/>
      <c r="I2093" s="11"/>
      <c r="J2093" s="11"/>
    </row>
    <row r="2094" spans="1:10" ht="15.75" x14ac:dyDescent="0.3">
      <c r="A2094" s="12" t="str">
        <f>HYPERLINK("https://parts-sales.ru/parts/MAN/81254350995","81.25435-0995")</f>
        <v>81.25435-0995</v>
      </c>
      <c r="B2094" s="12" t="str">
        <f>HYPERLINK("https://parts-sales.ru/parts/MAN/81254350995","Блокировка синий")</f>
        <v>Блокировка синий</v>
      </c>
      <c r="C2094" s="3" t="s">
        <v>8</v>
      </c>
      <c r="D2094" s="4">
        <v>333.6</v>
      </c>
      <c r="E2094" s="4">
        <v>60</v>
      </c>
      <c r="F2094" s="8">
        <v>0.82</v>
      </c>
      <c r="H2094" s="11"/>
      <c r="I2094" s="11"/>
      <c r="J2094" s="11"/>
    </row>
    <row r="2095" spans="1:10" ht="15.75" x14ac:dyDescent="0.3">
      <c r="A2095" s="13" t="str">
        <f>HYPERLINK("https://parts-sales.ru/parts/MAN/81254366009","81.25436-6009")</f>
        <v>81.25436-6009</v>
      </c>
      <c r="B2095" s="13" t="str">
        <f>HYPERLINK("https://parts-sales.ru/parts/MAN/81254366009","Плавкий предохранитель Тахограф")</f>
        <v>Плавкий предохранитель Тахограф</v>
      </c>
      <c r="C2095" s="5" t="s">
        <v>8</v>
      </c>
      <c r="D2095" s="6">
        <v>10038</v>
      </c>
      <c r="E2095" s="6">
        <v>1793</v>
      </c>
      <c r="F2095" s="9">
        <v>0.82</v>
      </c>
      <c r="H2095" s="11"/>
      <c r="I2095" s="11"/>
      <c r="J2095" s="11"/>
    </row>
    <row r="2096" spans="1:10" ht="15.75" x14ac:dyDescent="0.3">
      <c r="A2096" s="12" t="str">
        <f>HYPERLINK("https://parts-sales.ru/parts/MAN/81254366038","81.25436-6038")</f>
        <v>81.25436-6038</v>
      </c>
      <c r="B2096" s="12" t="str">
        <f>HYPERLINK("https://parts-sales.ru/parts/MAN/81254366038","Предохранитель с плоским корп. Штекер")</f>
        <v>Предохранитель с плоским корп. Штекер</v>
      </c>
      <c r="C2096" s="3" t="s">
        <v>8</v>
      </c>
      <c r="D2096" s="4">
        <v>1539.6</v>
      </c>
      <c r="E2096" s="4">
        <v>125</v>
      </c>
      <c r="F2096" s="8">
        <v>0.92</v>
      </c>
      <c r="H2096" s="11"/>
      <c r="I2096" s="11"/>
      <c r="J2096" s="11"/>
    </row>
    <row r="2097" spans="1:10" ht="15.75" x14ac:dyDescent="0.3">
      <c r="A2097" s="13" t="str">
        <f>HYPERLINK("https://parts-sales.ru/parts/MAN/81254370117","81.25437-0117")</f>
        <v>81.25437-0117</v>
      </c>
      <c r="B2097" s="13" t="str">
        <f>HYPERLINK("https://parts-sales.ru/parts/MAN/81254370117","Установочный автомат 5A/6A")</f>
        <v>Установочный автомат 5A/6A</v>
      </c>
      <c r="C2097" s="5" t="s">
        <v>8</v>
      </c>
      <c r="D2097" s="6">
        <v>3488.4</v>
      </c>
      <c r="E2097" s="6">
        <v>722</v>
      </c>
      <c r="F2097" s="9">
        <v>0.79</v>
      </c>
      <c r="H2097" s="11"/>
      <c r="I2097" s="11"/>
      <c r="J2097" s="11"/>
    </row>
    <row r="2098" spans="1:10" ht="15.75" x14ac:dyDescent="0.3">
      <c r="A2098" s="12" t="str">
        <f>HYPERLINK("https://parts-sales.ru/parts/MAN/81254370120","81.25437-0120")</f>
        <v>81.25437-0120</v>
      </c>
      <c r="B2098" s="12" t="str">
        <f>HYPERLINK("https://parts-sales.ru/parts/MAN/81254370120","Установочный автомат 15A")</f>
        <v>Установочный автомат 15A</v>
      </c>
      <c r="C2098" s="3" t="s">
        <v>8</v>
      </c>
      <c r="D2098" s="4">
        <v>3488.4</v>
      </c>
      <c r="E2098" s="4">
        <v>787</v>
      </c>
      <c r="F2098" s="8">
        <v>0.77</v>
      </c>
      <c r="H2098" s="11"/>
      <c r="I2098" s="11"/>
      <c r="J2098" s="11"/>
    </row>
    <row r="2099" spans="1:10" ht="15.75" x14ac:dyDescent="0.3">
      <c r="A2099" s="13" t="str">
        <f>HYPERLINK("https://parts-sales.ru/parts/MAN/81254370121","81.25437-0121")</f>
        <v>81.25437-0121</v>
      </c>
      <c r="B2099" s="13" t="str">
        <f>HYPERLINK("https://parts-sales.ru/parts/MAN/81254370121","Установочный автомат 20A")</f>
        <v>Установочный автомат 20A</v>
      </c>
      <c r="C2099" s="5" t="s">
        <v>8</v>
      </c>
      <c r="D2099" s="6">
        <v>3012</v>
      </c>
      <c r="E2099" s="6">
        <v>524</v>
      </c>
      <c r="F2099" s="9">
        <v>0.83</v>
      </c>
      <c r="H2099" s="11"/>
      <c r="I2099" s="11"/>
      <c r="J2099" s="11"/>
    </row>
    <row r="2100" spans="1:10" ht="15.75" x14ac:dyDescent="0.3">
      <c r="A2100" s="12" t="str">
        <f>HYPERLINK("https://parts-sales.ru/parts/MAN/81254370122","81.25437-0122")</f>
        <v>81.25437-0122</v>
      </c>
      <c r="B2100" s="12" t="str">
        <f>HYPERLINK("https://parts-sales.ru/parts/MAN/81254370122","Установочный автомат 25A")</f>
        <v>Установочный автомат 25A</v>
      </c>
      <c r="C2100" s="3" t="s">
        <v>8</v>
      </c>
      <c r="D2100" s="4">
        <v>3488.4</v>
      </c>
      <c r="E2100" s="4">
        <v>573</v>
      </c>
      <c r="F2100" s="8">
        <v>0.84</v>
      </c>
      <c r="H2100" s="11"/>
      <c r="I2100" s="11"/>
      <c r="J2100" s="11"/>
    </row>
    <row r="2101" spans="1:10" ht="15.75" x14ac:dyDescent="0.3">
      <c r="A2101" s="13" t="str">
        <f>HYPERLINK("https://parts-sales.ru/parts/MAN/81254410579","81.25441-0579")</f>
        <v>81.25441-0579</v>
      </c>
      <c r="B2101" s="13" t="str">
        <f>HYPERLINK("https://parts-sales.ru/parts/MAN/81254410579","Блок предохранителей")</f>
        <v>Блок предохранителей</v>
      </c>
      <c r="C2101" s="5" t="s">
        <v>8</v>
      </c>
      <c r="D2101" s="6">
        <v>2997.6</v>
      </c>
      <c r="E2101" s="6">
        <v>703</v>
      </c>
      <c r="F2101" s="9">
        <v>0.77</v>
      </c>
      <c r="H2101" s="11"/>
      <c r="I2101" s="11"/>
      <c r="J2101" s="11"/>
    </row>
    <row r="2102" spans="1:10" ht="15.75" x14ac:dyDescent="0.3">
      <c r="A2102" s="12" t="str">
        <f>HYPERLINK("https://parts-sales.ru/parts/MAN/81254410692","81.25441-0692")</f>
        <v>81.25441-0692</v>
      </c>
      <c r="B2102" s="12" t="str">
        <f>HYPERLINK("https://parts-sales.ru/parts/MAN/81254410692","Крепежный угол")</f>
        <v>Крепежный угол</v>
      </c>
      <c r="C2102" s="3" t="s">
        <v>8</v>
      </c>
      <c r="D2102" s="4">
        <v>3603.6</v>
      </c>
      <c r="E2102" s="4">
        <v>606</v>
      </c>
      <c r="F2102" s="8">
        <v>0.83</v>
      </c>
      <c r="H2102" s="11"/>
      <c r="I2102" s="11"/>
      <c r="J2102" s="11"/>
    </row>
    <row r="2103" spans="1:10" ht="15.75" x14ac:dyDescent="0.3">
      <c r="A2103" s="13" t="str">
        <f>HYPERLINK("https://parts-sales.ru/parts/MAN/81254410700","81.25441-0700")</f>
        <v>81.25441-0700</v>
      </c>
      <c r="B2103" s="13" t="str">
        <f>HYPERLINK("https://parts-sales.ru/parts/MAN/81254410700","Шарнирный болт")</f>
        <v>Шарнирный болт</v>
      </c>
      <c r="C2103" s="5" t="s">
        <v>8</v>
      </c>
      <c r="D2103" s="6">
        <v>496.8</v>
      </c>
      <c r="E2103" s="6">
        <v>68</v>
      </c>
      <c r="F2103" s="9">
        <v>0.86</v>
      </c>
      <c r="H2103" s="11"/>
      <c r="I2103" s="11"/>
      <c r="J2103" s="11"/>
    </row>
    <row r="2104" spans="1:10" ht="15.75" x14ac:dyDescent="0.3">
      <c r="A2104" s="12" t="str">
        <f>HYPERLINK("https://parts-sales.ru/parts/MAN/81254410896","81.25441-0896")</f>
        <v>81.25441-0896</v>
      </c>
      <c r="B2104" s="12" t="str">
        <f>HYPERLINK("https://parts-sales.ru/parts/MAN/81254410896","Держатель")</f>
        <v>Держатель</v>
      </c>
      <c r="C2104" s="3" t="s">
        <v>8</v>
      </c>
      <c r="D2104" s="4">
        <v>775.2</v>
      </c>
      <c r="E2104" s="4">
        <v>160</v>
      </c>
      <c r="F2104" s="8">
        <v>0.79</v>
      </c>
      <c r="H2104" s="11"/>
      <c r="I2104" s="11"/>
      <c r="J2104" s="11"/>
    </row>
    <row r="2105" spans="1:10" ht="15.75" x14ac:dyDescent="0.3">
      <c r="A2105" s="13" t="str">
        <f>HYPERLINK("https://parts-sales.ru/parts/MAN/81254410916","81.25441-0916")</f>
        <v>81.25441-0916</v>
      </c>
      <c r="B2105" s="13" t="str">
        <f>HYPERLINK("https://parts-sales.ru/parts/MAN/81254410916","Блокировочное устройство")</f>
        <v>Блокировочное устройство</v>
      </c>
      <c r="C2105" s="5" t="s">
        <v>8</v>
      </c>
      <c r="D2105" s="6">
        <v>382.8</v>
      </c>
      <c r="E2105" s="6">
        <v>2</v>
      </c>
      <c r="F2105" s="9">
        <v>0.99</v>
      </c>
      <c r="H2105" s="11"/>
      <c r="I2105" s="11"/>
      <c r="J2105" s="11"/>
    </row>
    <row r="2106" spans="1:10" ht="15.75" x14ac:dyDescent="0.3">
      <c r="A2106" s="12" t="str">
        <f>HYPERLINK("https://parts-sales.ru/parts/MAN/81254410932","81.25441-0932")</f>
        <v>81.25441-0932</v>
      </c>
      <c r="B2106" s="12" t="str">
        <f>HYPERLINK("https://parts-sales.ru/parts/MAN/81254410932","Крепление")</f>
        <v>Крепление</v>
      </c>
      <c r="C2106" s="3" t="s">
        <v>8</v>
      </c>
      <c r="D2106" s="4">
        <v>1076.4000000000001</v>
      </c>
      <c r="E2106" s="4">
        <v>249</v>
      </c>
      <c r="F2106" s="8">
        <v>0.77</v>
      </c>
      <c r="H2106" s="11"/>
      <c r="I2106" s="11"/>
      <c r="J2106" s="11"/>
    </row>
    <row r="2107" spans="1:10" ht="15.75" x14ac:dyDescent="0.3">
      <c r="A2107" s="13" t="str">
        <f>HYPERLINK("https://parts-sales.ru/parts/MAN/81254412499","81.25441-2499")</f>
        <v>81.25441-2499</v>
      </c>
      <c r="B2107" s="13" t="str">
        <f>HYPERLINK("https://parts-sales.ru/parts/MAN/81254412499","Крепежный цоколь 24,6X14,2X11,8-WS")</f>
        <v>Крепежный цоколь 24,6X14,2X11,8-WS</v>
      </c>
      <c r="C2107" s="5" t="s">
        <v>8</v>
      </c>
      <c r="D2107" s="6">
        <v>867.6</v>
      </c>
      <c r="E2107" s="6">
        <v>192</v>
      </c>
      <c r="F2107" s="9">
        <v>0.78</v>
      </c>
      <c r="H2107" s="11"/>
      <c r="I2107" s="11"/>
      <c r="J2107" s="11"/>
    </row>
    <row r="2108" spans="1:10" ht="15.75" x14ac:dyDescent="0.3">
      <c r="A2108" s="12" t="str">
        <f>HYPERLINK("https://parts-sales.ru/parts/MAN/81254415382","81.25441-5382")</f>
        <v>81.25441-5382</v>
      </c>
      <c r="B2108" s="12" t="str">
        <f>HYPERLINK("https://parts-sales.ru/parts/MAN/81254415382","Держатель")</f>
        <v>Держатель</v>
      </c>
      <c r="C2108" s="3" t="s">
        <v>8</v>
      </c>
      <c r="D2108" s="4">
        <v>2174.4</v>
      </c>
      <c r="E2108" s="4">
        <v>505</v>
      </c>
      <c r="F2108" s="8">
        <v>0.77</v>
      </c>
      <c r="H2108" s="11"/>
      <c r="I2108" s="11"/>
      <c r="J2108" s="11"/>
    </row>
    <row r="2109" spans="1:10" ht="15.75" x14ac:dyDescent="0.3">
      <c r="A2109" s="13" t="str">
        <f>HYPERLINK("https://parts-sales.ru/parts/MAN/81254415409","81.25441-5409")</f>
        <v>81.25441-5409</v>
      </c>
      <c r="B2109" s="13" t="str">
        <f>HYPERLINK("https://parts-sales.ru/parts/MAN/81254415409","Держатель")</f>
        <v>Держатель</v>
      </c>
      <c r="C2109" s="5" t="s">
        <v>8</v>
      </c>
      <c r="D2109" s="6">
        <v>1717.2</v>
      </c>
      <c r="E2109" s="6">
        <v>219</v>
      </c>
      <c r="F2109" s="9">
        <v>0.87</v>
      </c>
      <c r="H2109" s="11"/>
      <c r="I2109" s="11"/>
      <c r="J2109" s="11"/>
    </row>
    <row r="2110" spans="1:10" ht="15.75" x14ac:dyDescent="0.3">
      <c r="A2110" s="12" t="str">
        <f>HYPERLINK("https://parts-sales.ru/parts/MAN/81254416203","81.25441-6203")</f>
        <v>81.25441-6203</v>
      </c>
      <c r="B2110" s="12" t="str">
        <f>HYPERLINK("https://parts-sales.ru/parts/MAN/81254416203","Держатель приборов")</f>
        <v>Держатель приборов</v>
      </c>
      <c r="C2110" s="3" t="s">
        <v>8</v>
      </c>
      <c r="D2110" s="4">
        <v>5818.8</v>
      </c>
      <c r="E2110" s="4">
        <v>1266</v>
      </c>
      <c r="F2110" s="8">
        <v>0.78</v>
      </c>
      <c r="H2110" s="11"/>
      <c r="I2110" s="11"/>
      <c r="J2110" s="11"/>
    </row>
    <row r="2111" spans="1:10" ht="15.75" x14ac:dyDescent="0.3">
      <c r="A2111" s="13" t="str">
        <f>HYPERLINK("https://parts-sales.ru/parts/MAN/81254416222","81.25441-6222")</f>
        <v>81.25441-6222</v>
      </c>
      <c r="B2111" s="13" t="str">
        <f>HYPERLINK("https://parts-sales.ru/parts/MAN/81254416222","Блок предохранителей ATO CODE A")</f>
        <v>Блок предохранителей ATO CODE A</v>
      </c>
      <c r="C2111" s="5" t="s">
        <v>8</v>
      </c>
      <c r="D2111" s="6">
        <v>951.6</v>
      </c>
      <c r="E2111" s="6">
        <v>232</v>
      </c>
      <c r="F2111" s="9">
        <v>0.76</v>
      </c>
      <c r="H2111" s="11"/>
      <c r="I2111" s="11"/>
      <c r="J2111" s="11"/>
    </row>
    <row r="2112" spans="1:10" ht="15.75" x14ac:dyDescent="0.3">
      <c r="A2112" s="12" t="str">
        <f>HYPERLINK("https://parts-sales.ru/parts/MAN/81254416223","81.25441-6223")</f>
        <v>81.25441-6223</v>
      </c>
      <c r="B2112" s="12" t="str">
        <f>HYPERLINK("https://parts-sales.ru/parts/MAN/81254416223","Блок предохранителей ATO CODE B")</f>
        <v>Блок предохранителей ATO CODE B</v>
      </c>
      <c r="C2112" s="3" t="s">
        <v>8</v>
      </c>
      <c r="D2112" s="4">
        <v>951.6</v>
      </c>
      <c r="E2112" s="4">
        <v>232</v>
      </c>
      <c r="F2112" s="8">
        <v>0.76</v>
      </c>
      <c r="H2112" s="11"/>
      <c r="I2112" s="11"/>
      <c r="J2112" s="11"/>
    </row>
    <row r="2113" spans="1:10" ht="15.75" x14ac:dyDescent="0.3">
      <c r="A2113" s="13" t="str">
        <f>HYPERLINK("https://parts-sales.ru/parts/MAN/81254416225","81.25441-6225")</f>
        <v>81.25441-6225</v>
      </c>
      <c r="B2113" s="13" t="str">
        <f>HYPERLINK("https://parts-sales.ru/parts/MAN/81254416225","Блок предохранителей ATO CODE D")</f>
        <v>Блок предохранителей ATO CODE D</v>
      </c>
      <c r="C2113" s="5" t="s">
        <v>8</v>
      </c>
      <c r="D2113" s="6">
        <v>951.6</v>
      </c>
      <c r="E2113" s="6">
        <v>232</v>
      </c>
      <c r="F2113" s="9">
        <v>0.76</v>
      </c>
      <c r="H2113" s="11"/>
      <c r="I2113" s="11"/>
      <c r="J2113" s="11"/>
    </row>
    <row r="2114" spans="1:10" ht="15.75" x14ac:dyDescent="0.3">
      <c r="A2114" s="12" t="str">
        <f>HYPERLINK("https://parts-sales.ru/parts/MAN/81254416226","81.25441-6226")</f>
        <v>81.25441-6226</v>
      </c>
      <c r="B2114" s="12" t="str">
        <f>HYPERLINK("https://parts-sales.ru/parts/MAN/81254416226","Блок предохранителей ATO CODE E")</f>
        <v>Блок предохранителей ATO CODE E</v>
      </c>
      <c r="C2114" s="3" t="s">
        <v>8</v>
      </c>
      <c r="D2114" s="4">
        <v>951.6</v>
      </c>
      <c r="E2114" s="4">
        <v>232</v>
      </c>
      <c r="F2114" s="8">
        <v>0.76</v>
      </c>
      <c r="H2114" s="11"/>
      <c r="I2114" s="11"/>
      <c r="J2114" s="11"/>
    </row>
    <row r="2115" spans="1:10" ht="15.75" x14ac:dyDescent="0.3">
      <c r="A2115" s="13" t="str">
        <f>HYPERLINK("https://parts-sales.ru/parts/MAN/81254416231","81.25441-6231")</f>
        <v>81.25441-6231</v>
      </c>
      <c r="B2115" s="13" t="str">
        <f>HYPERLINK("https://parts-sales.ru/parts/MAN/81254416231","Блок предохранителей ATO CODE J")</f>
        <v>Блок предохранителей ATO CODE J</v>
      </c>
      <c r="C2115" s="5" t="s">
        <v>8</v>
      </c>
      <c r="D2115" s="6">
        <v>951.6</v>
      </c>
      <c r="E2115" s="6">
        <v>232</v>
      </c>
      <c r="F2115" s="9">
        <v>0.76</v>
      </c>
      <c r="H2115" s="11"/>
      <c r="I2115" s="11"/>
      <c r="J2115" s="11"/>
    </row>
    <row r="2116" spans="1:10" ht="15.75" x14ac:dyDescent="0.3">
      <c r="A2116" s="12" t="str">
        <f>HYPERLINK("https://parts-sales.ru/parts/MAN/81254420078","81.25442-0078")</f>
        <v>81.25442-0078</v>
      </c>
      <c r="B2116" s="12" t="str">
        <f>HYPERLINK("https://parts-sales.ru/parts/MAN/81254420078","Держатель Реле")</f>
        <v>Держатель Реле</v>
      </c>
      <c r="C2116" s="3" t="s">
        <v>8</v>
      </c>
      <c r="D2116" s="4">
        <v>2174.4</v>
      </c>
      <c r="E2116" s="4">
        <v>516</v>
      </c>
      <c r="F2116" s="8">
        <v>0.76</v>
      </c>
      <c r="H2116" s="11"/>
      <c r="I2116" s="11"/>
      <c r="J2116" s="11"/>
    </row>
    <row r="2117" spans="1:10" ht="15.75" x14ac:dyDescent="0.3">
      <c r="A2117" s="13" t="str">
        <f>HYPERLINK("https://parts-sales.ru/parts/MAN/81254495000","81.25449-5000")</f>
        <v>81.25449-5000</v>
      </c>
      <c r="B2117" s="13" t="str">
        <f>HYPERLINK("https://parts-sales.ru/parts/MAN/81254495000","Дополнительный жгут проводов Громкоговор")</f>
        <v>Дополнительный жгут проводов Громкоговор</v>
      </c>
      <c r="C2117" s="5" t="s">
        <v>8</v>
      </c>
      <c r="D2117" s="6">
        <v>4845.6000000000004</v>
      </c>
      <c r="E2117" s="6">
        <v>1197</v>
      </c>
      <c r="F2117" s="9">
        <v>0.75</v>
      </c>
      <c r="H2117" s="11"/>
      <c r="I2117" s="11"/>
      <c r="J2117" s="11"/>
    </row>
    <row r="2118" spans="1:10" ht="15.75" x14ac:dyDescent="0.3">
      <c r="A2118" s="12" t="str">
        <f>HYPERLINK("https://parts-sales.ru/parts/MAN/81254495002","81.25449-5002")</f>
        <v>81.25449-5002</v>
      </c>
      <c r="B2118" s="12" t="str">
        <f>HYPERLINK("https://parts-sales.ru/parts/MAN/81254495002","Дополнительный жгут проводов Громкоговор")</f>
        <v>Дополнительный жгут проводов Громкоговор</v>
      </c>
      <c r="C2118" s="3" t="s">
        <v>8</v>
      </c>
      <c r="D2118" s="4">
        <v>3054</v>
      </c>
      <c r="E2118" s="4">
        <v>759</v>
      </c>
      <c r="F2118" s="8">
        <v>0.75</v>
      </c>
      <c r="H2118" s="11"/>
      <c r="I2118" s="11"/>
      <c r="J2118" s="11"/>
    </row>
    <row r="2119" spans="1:10" ht="15.75" x14ac:dyDescent="0.3">
      <c r="A2119" s="13" t="str">
        <f>HYPERLINK("https://parts-sales.ru/parts/MAN/81254495004","81.25449-5004")</f>
        <v>81.25449-5004</v>
      </c>
      <c r="B2119" s="13" t="str">
        <f>HYPERLINK("https://parts-sales.ru/parts/MAN/81254495004","Дополнительный жгут проводов ZDR+KSM")</f>
        <v>Дополнительный жгут проводов ZDR+KSM</v>
      </c>
      <c r="C2119" s="5" t="s">
        <v>8</v>
      </c>
      <c r="D2119" s="6">
        <v>36336</v>
      </c>
      <c r="E2119" s="6">
        <v>7789</v>
      </c>
      <c r="F2119" s="9">
        <v>0.79</v>
      </c>
      <c r="H2119" s="11"/>
      <c r="I2119" s="11"/>
      <c r="J2119" s="11"/>
    </row>
    <row r="2120" spans="1:10" ht="15.75" x14ac:dyDescent="0.3">
      <c r="A2120" s="12" t="str">
        <f>HYPERLINK("https://parts-sales.ru/parts/MAN/81254495005","81.25449-5005")</f>
        <v>81.25449-5005</v>
      </c>
      <c r="B2120" s="12" t="str">
        <f>HYPERLINK("https://parts-sales.ru/parts/MAN/81254495005","Кабельная линия FMS")</f>
        <v>Кабельная линия FMS</v>
      </c>
      <c r="C2120" s="3" t="s">
        <v>8</v>
      </c>
      <c r="D2120" s="4">
        <v>13605.6</v>
      </c>
      <c r="E2120" s="4">
        <v>3191</v>
      </c>
      <c r="F2120" s="8">
        <v>0.77</v>
      </c>
      <c r="H2120" s="11"/>
      <c r="I2120" s="11"/>
      <c r="J2120" s="11"/>
    </row>
    <row r="2121" spans="1:10" ht="15.75" x14ac:dyDescent="0.3">
      <c r="A2121" s="13" t="str">
        <f>HYPERLINK("https://parts-sales.ru/parts/MAN/81254536306","81.25453-6306")</f>
        <v>81.25453-6306</v>
      </c>
      <c r="B2121" s="13" t="str">
        <f>HYPERLINK("https://parts-sales.ru/parts/MAN/81254536306","Кабельная линия 4-полюсный")</f>
        <v>Кабельная линия 4-полюсный</v>
      </c>
      <c r="C2121" s="5" t="s">
        <v>8</v>
      </c>
      <c r="D2121" s="6">
        <v>18745.2</v>
      </c>
      <c r="E2121" s="6">
        <v>3627</v>
      </c>
      <c r="F2121" s="9">
        <v>0.81</v>
      </c>
      <c r="H2121" s="11"/>
      <c r="I2121" s="11"/>
      <c r="J2121" s="11"/>
    </row>
    <row r="2122" spans="1:10" ht="15.75" x14ac:dyDescent="0.3">
      <c r="A2122" s="12" t="str">
        <f>HYPERLINK("https://parts-sales.ru/parts/MAN/81254536778","81.25453-6778")</f>
        <v>81.25453-6778</v>
      </c>
      <c r="B2122" s="12" t="str">
        <f>HYPERLINK("https://parts-sales.ru/parts/MAN/81254536778","Кабельная линия Магнитные клапаны")</f>
        <v>Кабельная линия Магнитные клапаны</v>
      </c>
      <c r="C2122" s="3" t="s">
        <v>8</v>
      </c>
      <c r="D2122" s="4">
        <v>18895.2</v>
      </c>
      <c r="E2122" s="4">
        <v>3633</v>
      </c>
      <c r="F2122" s="8">
        <v>0.81</v>
      </c>
      <c r="H2122" s="11"/>
      <c r="I2122" s="11"/>
      <c r="J2122" s="11"/>
    </row>
    <row r="2123" spans="1:10" ht="15.75" x14ac:dyDescent="0.3">
      <c r="A2123" s="13" t="str">
        <f>HYPERLINK("https://parts-sales.ru/parts/MAN/81254566518","81.25456-6518")</f>
        <v>81.25456-6518</v>
      </c>
      <c r="B2123" s="13" t="str">
        <f>HYPERLINK("https://parts-sales.ru/parts/MAN/81254566518","Кабельная линия")</f>
        <v>Кабельная линия</v>
      </c>
      <c r="C2123" s="5" t="s">
        <v>8</v>
      </c>
      <c r="D2123" s="6">
        <v>57579.41</v>
      </c>
      <c r="E2123" s="6">
        <v>26871</v>
      </c>
      <c r="F2123" s="9">
        <v>0.53</v>
      </c>
      <c r="H2123" s="11"/>
      <c r="I2123" s="11"/>
      <c r="J2123" s="11"/>
    </row>
    <row r="2124" spans="1:10" ht="15.75" x14ac:dyDescent="0.3">
      <c r="A2124" s="12" t="str">
        <f>HYPERLINK("https://parts-sales.ru/parts/MAN/81254566771","81.25456-6771")</f>
        <v>81.25456-6771</v>
      </c>
      <c r="B2124" s="12" t="str">
        <f>HYPERLINK("https://parts-sales.ru/parts/MAN/81254566771","Кабельная линия Рабочая фара")</f>
        <v>Кабельная линия Рабочая фара</v>
      </c>
      <c r="C2124" s="3" t="s">
        <v>8</v>
      </c>
      <c r="D2124" s="4">
        <v>12464.4</v>
      </c>
      <c r="E2124" s="4">
        <v>1794</v>
      </c>
      <c r="F2124" s="8">
        <v>0.86</v>
      </c>
      <c r="H2124" s="11"/>
      <c r="I2124" s="11"/>
      <c r="J2124" s="11"/>
    </row>
    <row r="2125" spans="1:10" ht="15.75" x14ac:dyDescent="0.3">
      <c r="A2125" s="13" t="str">
        <f>HYPERLINK("https://parts-sales.ru/parts/MAN/81254585978","81.25458-5978")</f>
        <v>81.25458-5978</v>
      </c>
      <c r="B2125" s="13" t="str">
        <f>HYPERLINK("https://parts-sales.ru/parts/MAN/81254585978","Кабельная линия Набор мет.листов внут.об")</f>
        <v>Кабельная линия Набор мет.листов внут.об</v>
      </c>
      <c r="C2125" s="5" t="s">
        <v>8</v>
      </c>
      <c r="D2125" s="6">
        <v>10656</v>
      </c>
      <c r="E2125" s="6">
        <v>1858</v>
      </c>
      <c r="F2125" s="9">
        <v>0.83</v>
      </c>
      <c r="H2125" s="11"/>
      <c r="I2125" s="11"/>
      <c r="J2125" s="11"/>
    </row>
    <row r="2126" spans="1:10" ht="15.75" x14ac:dyDescent="0.3">
      <c r="A2126" s="12" t="str">
        <f>HYPERLINK("https://parts-sales.ru/parts/MAN/81254586010","81.25458-6010")</f>
        <v>81.25458-6010</v>
      </c>
      <c r="B2126" s="12" t="str">
        <f>HYPERLINK("https://parts-sales.ru/parts/MAN/81254586010","Кабельная линия Контурные фонари")</f>
        <v>Кабельная линия Контурные фонари</v>
      </c>
      <c r="C2126" s="3" t="s">
        <v>8</v>
      </c>
      <c r="D2126" s="4">
        <v>9180</v>
      </c>
      <c r="E2126" s="4">
        <v>1914</v>
      </c>
      <c r="F2126" s="8">
        <v>0.79</v>
      </c>
      <c r="H2126" s="11"/>
      <c r="I2126" s="11"/>
      <c r="J2126" s="11"/>
    </row>
    <row r="2127" spans="1:10" ht="15.75" x14ac:dyDescent="0.3">
      <c r="A2127" s="13" t="str">
        <f>HYPERLINK("https://parts-sales.ru/parts/MAN/81254586052","81.25458-6052")</f>
        <v>81.25458-6052</v>
      </c>
      <c r="B2127" s="13" t="str">
        <f>HYPERLINK("https://parts-sales.ru/parts/MAN/81254586052","Кабельная линия Фонари кругового обзора")</f>
        <v>Кабельная линия Фонари кругового обзора</v>
      </c>
      <c r="C2127" s="5" t="s">
        <v>8</v>
      </c>
      <c r="D2127" s="6">
        <v>7389.47</v>
      </c>
      <c r="E2127" s="6">
        <v>4837</v>
      </c>
      <c r="F2127" s="9">
        <v>0.35</v>
      </c>
      <c r="H2127" s="11"/>
      <c r="I2127" s="11"/>
      <c r="J2127" s="11"/>
    </row>
    <row r="2128" spans="1:10" ht="15.75" x14ac:dyDescent="0.3">
      <c r="A2128" s="12" t="str">
        <f>HYPERLINK("https://parts-sales.ru/parts/MAN/81254586666","81.25458-6666")</f>
        <v>81.25458-6666</v>
      </c>
      <c r="B2128" s="12" t="str">
        <f>HYPERLINK("https://parts-sales.ru/parts/MAN/81254586666","Кабельная линия")</f>
        <v>Кабельная линия</v>
      </c>
      <c r="C2128" s="3" t="s">
        <v>8</v>
      </c>
      <c r="D2128" s="4">
        <v>17649.599999999999</v>
      </c>
      <c r="E2128" s="4">
        <v>3668</v>
      </c>
      <c r="F2128" s="8">
        <v>0.79</v>
      </c>
      <c r="H2128" s="11"/>
      <c r="I2128" s="11"/>
      <c r="J2128" s="11"/>
    </row>
    <row r="2129" spans="1:10" ht="15.75" x14ac:dyDescent="0.3">
      <c r="A2129" s="13" t="str">
        <f>HYPERLINK("https://parts-sales.ru/parts/MAN/81254586995","81.25458-6995")</f>
        <v>81.25458-6995</v>
      </c>
      <c r="B2129" s="13" t="str">
        <f>HYPERLINK("https://parts-sales.ru/parts/MAN/81254586995","Кабельная линия Клавишный ключ")</f>
        <v>Кабельная линия Клавишный ключ</v>
      </c>
      <c r="C2129" s="5" t="s">
        <v>8</v>
      </c>
      <c r="D2129" s="6">
        <v>10990.8</v>
      </c>
      <c r="E2129" s="6">
        <v>2254</v>
      </c>
      <c r="F2129" s="9">
        <v>0.79</v>
      </c>
      <c r="H2129" s="11"/>
      <c r="I2129" s="11"/>
      <c r="J2129" s="11"/>
    </row>
    <row r="2130" spans="1:10" ht="15.75" x14ac:dyDescent="0.3">
      <c r="A2130" s="12" t="str">
        <f>HYPERLINK("https://parts-sales.ru/parts/MAN/81254587801","81.25458-7801")</f>
        <v>81.25458-7801</v>
      </c>
      <c r="B2130" s="12" t="str">
        <f>HYPERLINK("https://parts-sales.ru/parts/MAN/81254587801","Кабельная проводка 3-полюсный")</f>
        <v>Кабельная проводка 3-полюсный</v>
      </c>
      <c r="C2130" s="3" t="s">
        <v>8</v>
      </c>
      <c r="D2130" s="4">
        <v>7515.6</v>
      </c>
      <c r="E2130" s="4">
        <v>1601</v>
      </c>
      <c r="F2130" s="8">
        <v>0.79</v>
      </c>
      <c r="H2130" s="11"/>
      <c r="I2130" s="11"/>
      <c r="J2130" s="11"/>
    </row>
    <row r="2131" spans="1:10" ht="15.75" x14ac:dyDescent="0.3">
      <c r="A2131" s="13" t="str">
        <f>HYPERLINK("https://parts-sales.ru/parts/MAN/81254595856","81.25459-5856")</f>
        <v>81.25459-5856</v>
      </c>
      <c r="B2131" s="13" t="str">
        <f>HYPERLINK("https://parts-sales.ru/parts/MAN/81254595856","Кабельная линия Электрон. система регули")</f>
        <v>Кабельная линия Электрон. система регули</v>
      </c>
      <c r="C2131" s="5" t="s">
        <v>8</v>
      </c>
      <c r="D2131" s="6">
        <v>79382.679999999993</v>
      </c>
      <c r="E2131" s="6">
        <v>33214</v>
      </c>
      <c r="F2131" s="9">
        <v>0.57999999999999996</v>
      </c>
      <c r="H2131" s="11"/>
      <c r="I2131" s="11"/>
      <c r="J2131" s="11"/>
    </row>
    <row r="2132" spans="1:10" ht="15.75" x14ac:dyDescent="0.3">
      <c r="A2132" s="12" t="str">
        <f>HYPERLINK("https://parts-sales.ru/parts/MAN/81254596122","81.25459-6122")</f>
        <v>81.25459-6122</v>
      </c>
      <c r="B2132" s="12" t="str">
        <f>HYPERLINK("https://parts-sales.ru/parts/MAN/81254596122","Кабельная линия TRS")</f>
        <v>Кабельная линия TRS</v>
      </c>
      <c r="C2132" s="3" t="s">
        <v>8</v>
      </c>
      <c r="D2132" s="4">
        <v>11337.6</v>
      </c>
      <c r="E2132" s="4">
        <v>2775</v>
      </c>
      <c r="F2132" s="8">
        <v>0.76</v>
      </c>
      <c r="H2132" s="11"/>
      <c r="I2132" s="11"/>
      <c r="J2132" s="11"/>
    </row>
    <row r="2133" spans="1:10" ht="15.75" x14ac:dyDescent="0.3">
      <c r="A2133" s="13" t="str">
        <f>HYPERLINK("https://parts-sales.ru/parts/MAN/81254596223","81.25459-6223")</f>
        <v>81.25459-6223</v>
      </c>
      <c r="B2133" s="13" t="str">
        <f>HYPERLINK("https://parts-sales.ru/parts/MAN/81254596223","Кабельная линия раскачать")</f>
        <v>Кабельная линия раскачать</v>
      </c>
      <c r="C2133" s="5" t="s">
        <v>8</v>
      </c>
      <c r="D2133" s="6">
        <v>8628</v>
      </c>
      <c r="E2133" s="6">
        <v>2114</v>
      </c>
      <c r="F2133" s="9">
        <v>0.75</v>
      </c>
      <c r="H2133" s="11"/>
      <c r="I2133" s="11"/>
      <c r="J2133" s="11"/>
    </row>
    <row r="2134" spans="1:10" ht="15.75" x14ac:dyDescent="0.3">
      <c r="A2134" s="12" t="str">
        <f>HYPERLINK("https://parts-sales.ru/parts/MAN/81254596478","81.25459-6478")</f>
        <v>81.25459-6478</v>
      </c>
      <c r="B2134" s="12" t="str">
        <f>HYPERLINK("https://parts-sales.ru/parts/MAN/81254596478","Кабельная линия Фара")</f>
        <v>Кабельная линия Фара</v>
      </c>
      <c r="C2134" s="3" t="s">
        <v>8</v>
      </c>
      <c r="D2134" s="4">
        <v>50746.8</v>
      </c>
      <c r="E2134" s="4">
        <v>10099</v>
      </c>
      <c r="F2134" s="8">
        <v>0.8</v>
      </c>
      <c r="H2134" s="11"/>
      <c r="I2134" s="11"/>
      <c r="J2134" s="11"/>
    </row>
    <row r="2135" spans="1:10" ht="15.75" x14ac:dyDescent="0.3">
      <c r="A2135" s="13" t="str">
        <f>HYPERLINK("https://parts-sales.ru/parts/MAN/81254597707","81.25459-7707")</f>
        <v>81.25459-7707</v>
      </c>
      <c r="B2135" s="13" t="str">
        <f>HYPERLINK("https://parts-sales.ru/parts/MAN/81254597707","Кабельная линия Зимнее техобслуживание")</f>
        <v>Кабельная линия Зимнее техобслуживание</v>
      </c>
      <c r="C2135" s="5" t="s">
        <v>8</v>
      </c>
      <c r="D2135" s="6">
        <v>4149.6000000000004</v>
      </c>
      <c r="E2135" s="6">
        <v>887</v>
      </c>
      <c r="F2135" s="9">
        <v>0.79</v>
      </c>
      <c r="H2135" s="11"/>
      <c r="I2135" s="11"/>
      <c r="J2135" s="11"/>
    </row>
    <row r="2136" spans="1:10" ht="15.75" x14ac:dyDescent="0.3">
      <c r="A2136" s="12" t="str">
        <f>HYPERLINK("https://parts-sales.ru/parts/MAN/81254605363","81.25460-5363")</f>
        <v>81.25460-5363</v>
      </c>
      <c r="B2136" s="12" t="str">
        <f>HYPERLINK("https://parts-sales.ru/parts/MAN/81254605363","Кабельная линия Дополнительный обогрев в")</f>
        <v>Кабельная линия Дополнительный обогрев в</v>
      </c>
      <c r="C2136" s="3" t="s">
        <v>8</v>
      </c>
      <c r="D2136" s="4">
        <v>21124.799999999999</v>
      </c>
      <c r="E2136" s="4">
        <v>4403</v>
      </c>
      <c r="F2136" s="8">
        <v>0.79</v>
      </c>
      <c r="H2136" s="11"/>
      <c r="I2136" s="11"/>
      <c r="J2136" s="11"/>
    </row>
    <row r="2137" spans="1:10" ht="15.75" x14ac:dyDescent="0.3">
      <c r="A2137" s="13" t="str">
        <f>HYPERLINK("https://parts-sales.ru/parts/MAN/81254605370","81.25460-5370")</f>
        <v>81.25460-5370</v>
      </c>
      <c r="B2137" s="13" t="str">
        <f>HYPERLINK("https://parts-sales.ru/parts/MAN/81254605370","Кабельная линия Дополнительное отопление")</f>
        <v>Кабельная линия Дополнительное отопление</v>
      </c>
      <c r="C2137" s="5" t="s">
        <v>8</v>
      </c>
      <c r="D2137" s="6">
        <v>17461.2</v>
      </c>
      <c r="E2137" s="6">
        <v>3593</v>
      </c>
      <c r="F2137" s="9">
        <v>0.79</v>
      </c>
      <c r="H2137" s="11"/>
      <c r="I2137" s="11"/>
      <c r="J2137" s="11"/>
    </row>
    <row r="2138" spans="1:10" ht="15.75" x14ac:dyDescent="0.3">
      <c r="A2138" s="12" t="str">
        <f>HYPERLINK("https://parts-sales.ru/parts/MAN/81254605891","81.25460-5891")</f>
        <v>81.25460-5891</v>
      </c>
      <c r="B2138" s="12" t="str">
        <f>HYPERLINK("https://parts-sales.ru/parts/MAN/81254605891","Кабельная линия Аварийный выключ. батаре")</f>
        <v>Кабельная линия Аварийный выключ. батаре</v>
      </c>
      <c r="C2138" s="3" t="s">
        <v>8</v>
      </c>
      <c r="D2138" s="4">
        <v>37872</v>
      </c>
      <c r="E2138" s="4">
        <v>6975</v>
      </c>
      <c r="F2138" s="8">
        <v>0.82</v>
      </c>
      <c r="H2138" s="11"/>
      <c r="I2138" s="11"/>
      <c r="J2138" s="11"/>
    </row>
    <row r="2139" spans="1:10" ht="15.75" x14ac:dyDescent="0.3">
      <c r="A2139" s="13" t="str">
        <f>HYPERLINK("https://parts-sales.ru/parts/MAN/81254606228","81.25460-6228")</f>
        <v>81.25460-6228</v>
      </c>
      <c r="B2139" s="13" t="str">
        <f>HYPERLINK("https://parts-sales.ru/parts/MAN/81254606228","Кабельная линия 3K+")</f>
        <v>Кабельная линия 3K+</v>
      </c>
      <c r="C2139" s="5" t="s">
        <v>8</v>
      </c>
      <c r="D2139" s="6">
        <v>110475.6</v>
      </c>
      <c r="E2139" s="6">
        <v>33655</v>
      </c>
      <c r="F2139" s="9">
        <v>0.7</v>
      </c>
      <c r="H2139" s="11"/>
      <c r="I2139" s="11"/>
      <c r="J2139" s="11"/>
    </row>
    <row r="2140" spans="1:10" ht="15.75" x14ac:dyDescent="0.3">
      <c r="A2140" s="12" t="str">
        <f>HYPERLINK("https://parts-sales.ru/parts/MAN/81254606394","81.25460-6394")</f>
        <v>81.25460-6394</v>
      </c>
      <c r="B2140" s="12" t="str">
        <f>HYPERLINK("https://parts-sales.ru/parts/MAN/81254606394","Кабельная линия")</f>
        <v>Кабельная линия</v>
      </c>
      <c r="C2140" s="3" t="s">
        <v>8</v>
      </c>
      <c r="D2140" s="4">
        <v>201715.20000000001</v>
      </c>
      <c r="E2140" s="4">
        <v>24322</v>
      </c>
      <c r="F2140" s="8">
        <v>0.88</v>
      </c>
      <c r="H2140" s="11"/>
      <c r="I2140" s="11"/>
      <c r="J2140" s="11"/>
    </row>
    <row r="2141" spans="1:10" ht="15.75" x14ac:dyDescent="0.3">
      <c r="A2141" s="13" t="str">
        <f>HYPERLINK("https://parts-sales.ru/parts/MAN/81254606664","81.25460-6664")</f>
        <v>81.25460-6664</v>
      </c>
      <c r="B2141" s="13" t="str">
        <f>HYPERLINK("https://parts-sales.ru/parts/MAN/81254606664","Кабельная линия Коробка передач")</f>
        <v>Кабельная линия Коробка передач</v>
      </c>
      <c r="C2141" s="5" t="s">
        <v>8</v>
      </c>
      <c r="D2141" s="6">
        <v>17972.400000000001</v>
      </c>
      <c r="E2141" s="6">
        <v>1255</v>
      </c>
      <c r="F2141" s="9">
        <v>0.93</v>
      </c>
      <c r="H2141" s="11"/>
      <c r="I2141" s="11"/>
      <c r="J2141" s="11"/>
    </row>
    <row r="2142" spans="1:10" ht="15.75" x14ac:dyDescent="0.3">
      <c r="A2142" s="12" t="str">
        <f>HYPERLINK("https://parts-sales.ru/parts/MAN/81254607476","81.25460-7476")</f>
        <v>81.25460-7476</v>
      </c>
      <c r="B2142" s="12" t="str">
        <f>HYPERLINK("https://parts-sales.ru/parts/MAN/81254607476","Кабельная линия")</f>
        <v>Кабельная линия</v>
      </c>
      <c r="C2142" s="3" t="s">
        <v>8</v>
      </c>
      <c r="D2142" s="4">
        <v>4890</v>
      </c>
      <c r="E2142" s="4">
        <v>1195</v>
      </c>
      <c r="F2142" s="8">
        <v>0.76</v>
      </c>
      <c r="H2142" s="11"/>
      <c r="I2142" s="11"/>
      <c r="J2142" s="11"/>
    </row>
    <row r="2143" spans="1:10" ht="15.75" x14ac:dyDescent="0.3">
      <c r="A2143" s="13" t="str">
        <f>HYPERLINK("https://parts-sales.ru/parts/MAN/81254700024","81.25470-0024")</f>
        <v>81.25470-0024</v>
      </c>
      <c r="B2143" s="13" t="str">
        <f>HYPERLINK("https://parts-sales.ru/parts/MAN/81254700024","Кабельный наконечник A12-70/13-SE-CU-SN3")</f>
        <v>Кабельный наконечник A12-70/13-SE-CU-SN3</v>
      </c>
      <c r="C2143" s="5" t="s">
        <v>8</v>
      </c>
      <c r="D2143" s="6">
        <v>1462.8</v>
      </c>
      <c r="E2143" s="6">
        <v>355</v>
      </c>
      <c r="F2143" s="9">
        <v>0.76</v>
      </c>
      <c r="H2143" s="11"/>
      <c r="I2143" s="11"/>
      <c r="J2143" s="11"/>
    </row>
    <row r="2144" spans="1:10" ht="15.75" x14ac:dyDescent="0.3">
      <c r="A2144" s="12" t="str">
        <f>HYPERLINK("https://parts-sales.ru/parts/MAN/81254700025","81.25470-0025")</f>
        <v>81.25470-0025</v>
      </c>
      <c r="B2144" s="12" t="str">
        <f>HYPERLINK("https://parts-sales.ru/parts/MAN/81254700025","Кабельный наконечник C10-70/16-SE-CU-SN3")</f>
        <v>Кабельный наконечник C10-70/16-SE-CU-SN3</v>
      </c>
      <c r="C2144" s="3" t="s">
        <v>8</v>
      </c>
      <c r="D2144" s="4">
        <v>2070</v>
      </c>
      <c r="E2144" s="4">
        <v>410</v>
      </c>
      <c r="F2144" s="8">
        <v>0.8</v>
      </c>
      <c r="H2144" s="11"/>
      <c r="I2144" s="11"/>
      <c r="J2144" s="11"/>
    </row>
    <row r="2145" spans="1:10" ht="15.75" x14ac:dyDescent="0.3">
      <c r="A2145" s="13" t="str">
        <f>HYPERLINK("https://parts-sales.ru/parts/MAN/81254700030","81.25470-0030")</f>
        <v>81.25470-0030</v>
      </c>
      <c r="B2145" s="13" t="str">
        <f>HYPERLINK("https://parts-sales.ru/parts/MAN/81254700030","Полюсный вывод аккум. батареи -50")</f>
        <v>Полюсный вывод аккум. батареи -50</v>
      </c>
      <c r="C2145" s="5" t="s">
        <v>8</v>
      </c>
      <c r="D2145" s="6">
        <v>3388.8</v>
      </c>
      <c r="E2145" s="6">
        <v>689</v>
      </c>
      <c r="F2145" s="9">
        <v>0.8</v>
      </c>
      <c r="H2145" s="11"/>
      <c r="I2145" s="11"/>
      <c r="J2145" s="11"/>
    </row>
    <row r="2146" spans="1:10" ht="15.75" x14ac:dyDescent="0.3">
      <c r="A2146" s="12" t="str">
        <f>HYPERLINK("https://parts-sales.ru/parts/MAN/81254700031","81.25470-0031")</f>
        <v>81.25470-0031</v>
      </c>
      <c r="B2146" s="12" t="str">
        <f>HYPERLINK("https://parts-sales.ru/parts/MAN/81254700031","Полюсный вывод аккум. батареи +50")</f>
        <v>Полюсный вывод аккум. батареи +50</v>
      </c>
      <c r="C2146" s="3" t="s">
        <v>8</v>
      </c>
      <c r="D2146" s="4">
        <v>3567.6</v>
      </c>
      <c r="E2146" s="4">
        <v>900</v>
      </c>
      <c r="F2146" s="8">
        <v>0.75</v>
      </c>
      <c r="H2146" s="11"/>
      <c r="I2146" s="11"/>
      <c r="J2146" s="11"/>
    </row>
    <row r="2147" spans="1:10" ht="15.75" x14ac:dyDescent="0.3">
      <c r="A2147" s="13" t="str">
        <f>HYPERLINK("https://parts-sales.ru/parts/MAN/81254700035","81.25470-0035")</f>
        <v>81.25470-0035</v>
      </c>
      <c r="B2147" s="13" t="str">
        <f>HYPERLINK("https://parts-sales.ru/parts/MAN/81254700035","Полюсная защита")</f>
        <v>Полюсная защита</v>
      </c>
      <c r="C2147" s="5" t="s">
        <v>8</v>
      </c>
      <c r="D2147" s="6">
        <v>543.6</v>
      </c>
      <c r="E2147" s="6">
        <v>235</v>
      </c>
      <c r="F2147" s="9">
        <v>0.56999999999999995</v>
      </c>
      <c r="H2147" s="11"/>
      <c r="I2147" s="11"/>
      <c r="J2147" s="11"/>
    </row>
    <row r="2148" spans="1:10" ht="15.75" x14ac:dyDescent="0.3">
      <c r="A2148" s="12" t="str">
        <f>HYPERLINK("https://parts-sales.ru/parts/MAN/81254700038","81.25470-0038")</f>
        <v>81.25470-0038</v>
      </c>
      <c r="B2148" s="12" t="str">
        <f>HYPERLINK("https://parts-sales.ru/parts/MAN/81254700038","Кабельный наконечник A10-50/12-SE-CU-SN3")</f>
        <v>Кабельный наконечник A10-50/12-SE-CU-SN3</v>
      </c>
      <c r="C2148" s="3" t="s">
        <v>8</v>
      </c>
      <c r="D2148" s="4">
        <v>1532.4</v>
      </c>
      <c r="E2148" s="4">
        <v>231</v>
      </c>
      <c r="F2148" s="8">
        <v>0.85</v>
      </c>
      <c r="H2148" s="11"/>
      <c r="I2148" s="11"/>
      <c r="J2148" s="11"/>
    </row>
    <row r="2149" spans="1:10" ht="15.75" x14ac:dyDescent="0.3">
      <c r="A2149" s="13" t="str">
        <f>HYPERLINK("https://parts-sales.ru/parts/MAN/81254700040","81.25470-0040")</f>
        <v>81.25470-0040</v>
      </c>
      <c r="B2149" s="13" t="str">
        <f>HYPERLINK("https://parts-sales.ru/parts/MAN/81254700040","Кабельный наконечник C10-50/26-SE-CU-SN3")</f>
        <v>Кабельный наконечник C10-50/26-SE-CU-SN3</v>
      </c>
      <c r="C2149" s="5" t="s">
        <v>8</v>
      </c>
      <c r="D2149" s="6">
        <v>1636.8</v>
      </c>
      <c r="E2149" s="6">
        <v>276</v>
      </c>
      <c r="F2149" s="9">
        <v>0.83</v>
      </c>
      <c r="H2149" s="11"/>
      <c r="I2149" s="11"/>
      <c r="J2149" s="11"/>
    </row>
    <row r="2150" spans="1:10" ht="15.75" x14ac:dyDescent="0.3">
      <c r="A2150" s="12" t="str">
        <f>HYPERLINK("https://parts-sales.ru/parts/MAN/81254700052","81.25470-0052")</f>
        <v>81.25470-0052</v>
      </c>
      <c r="B2150" s="12" t="str">
        <f>HYPERLINK("https://parts-sales.ru/parts/MAN/81254700052","Полюсная защита MINUS")</f>
        <v>Полюсная защита MINUS</v>
      </c>
      <c r="C2150" s="3" t="s">
        <v>8</v>
      </c>
      <c r="D2150" s="4">
        <v>574.79999999999995</v>
      </c>
      <c r="E2150" s="4">
        <v>33</v>
      </c>
      <c r="F2150" s="8">
        <v>0.94</v>
      </c>
      <c r="H2150" s="11"/>
      <c r="I2150" s="11"/>
      <c r="J2150" s="11"/>
    </row>
    <row r="2151" spans="1:10" ht="15.75" x14ac:dyDescent="0.3">
      <c r="A2151" s="13" t="str">
        <f>HYPERLINK("https://parts-sales.ru/parts/MAN/81254706002","81.25470-6002")</f>
        <v>81.25470-6002</v>
      </c>
      <c r="B2151" s="13" t="str">
        <f>HYPERLINK("https://parts-sales.ru/parts/MAN/81254706002","Полюсный вывод аккум. батареи -")</f>
        <v>Полюсный вывод аккум. батареи -</v>
      </c>
      <c r="C2151" s="5" t="s">
        <v>8</v>
      </c>
      <c r="D2151" s="6">
        <v>2414.4</v>
      </c>
      <c r="E2151" s="6">
        <v>226</v>
      </c>
      <c r="F2151" s="9">
        <v>0.91</v>
      </c>
      <c r="H2151" s="11"/>
      <c r="I2151" s="11"/>
      <c r="J2151" s="11"/>
    </row>
    <row r="2152" spans="1:10" ht="15.75" x14ac:dyDescent="0.3">
      <c r="A2152" s="12" t="str">
        <f>HYPERLINK("https://parts-sales.ru/parts/MAN/81254726000","81.25472-6000")</f>
        <v>81.25472-6000</v>
      </c>
      <c r="B2152" s="12" t="str">
        <f>HYPERLINK("https://parts-sales.ru/parts/MAN/81254726000","Кабельная линия Дозирующий насос топлива")</f>
        <v>Кабельная линия Дозирующий насос топлива</v>
      </c>
      <c r="C2152" s="3" t="s">
        <v>8</v>
      </c>
      <c r="D2152" s="4">
        <v>14367.6</v>
      </c>
      <c r="E2152" s="4">
        <v>2757</v>
      </c>
      <c r="F2152" s="8">
        <v>0.81</v>
      </c>
      <c r="H2152" s="11"/>
      <c r="I2152" s="11"/>
      <c r="J2152" s="11"/>
    </row>
    <row r="2153" spans="1:10" ht="15.75" x14ac:dyDescent="0.3">
      <c r="A2153" s="13" t="str">
        <f>HYPERLINK("https://parts-sales.ru/parts/MAN/81254726449","81.25472-6449")</f>
        <v>81.25472-6449</v>
      </c>
      <c r="B2153" s="13" t="str">
        <f>HYPERLINK("https://parts-sales.ru/parts/MAN/81254726449","Кабельная линия Фильтр грубой очистки то")</f>
        <v>Кабельная линия Фильтр грубой очистки то</v>
      </c>
      <c r="C2153" s="5" t="s">
        <v>8</v>
      </c>
      <c r="D2153" s="6">
        <v>40915.199999999997</v>
      </c>
      <c r="E2153" s="6">
        <v>7919</v>
      </c>
      <c r="F2153" s="9">
        <v>0.81</v>
      </c>
      <c r="H2153" s="11"/>
      <c r="I2153" s="11"/>
      <c r="J2153" s="11"/>
    </row>
    <row r="2154" spans="1:10" ht="15.75" x14ac:dyDescent="0.3">
      <c r="A2154" s="12" t="str">
        <f>HYPERLINK("https://parts-sales.ru/parts/MAN/81254750003","81.25475-0003")</f>
        <v>81.25475-0003</v>
      </c>
      <c r="B2154" s="12" t="str">
        <f>HYPERLINK("https://parts-sales.ru/parts/MAN/81254750003","Корпус штекера 12-27,5X27,5-2,8-CODEB-C-")</f>
        <v>Корпус штекера 12-27,5X27,5-2,8-CODEB-C-</v>
      </c>
      <c r="C2154" s="3" t="s">
        <v>8</v>
      </c>
      <c r="D2154" s="4">
        <v>771.6</v>
      </c>
      <c r="E2154" s="4">
        <v>182</v>
      </c>
      <c r="F2154" s="8">
        <v>0.76</v>
      </c>
      <c r="H2154" s="11"/>
      <c r="I2154" s="11"/>
      <c r="J2154" s="11"/>
    </row>
    <row r="2155" spans="1:10" ht="15.75" x14ac:dyDescent="0.3">
      <c r="A2155" s="13" t="str">
        <f>HYPERLINK("https://parts-sales.ru/parts/MAN/81254750006","81.25475-0006")</f>
        <v>81.25475-0006</v>
      </c>
      <c r="B2155" s="13" t="str">
        <f>HYPERLINK("https://parts-sales.ru/parts/MAN/81254750006","Корпус штекера 21-42,5X27,5-2,8-CODEB-C-")</f>
        <v>Корпус штекера 21-42,5X27,5-2,8-CODEB-C-</v>
      </c>
      <c r="C2155" s="5" t="s">
        <v>8</v>
      </c>
      <c r="D2155" s="6">
        <v>846</v>
      </c>
      <c r="E2155" s="6">
        <v>223</v>
      </c>
      <c r="F2155" s="9">
        <v>0.74</v>
      </c>
      <c r="H2155" s="11"/>
      <c r="I2155" s="11"/>
      <c r="J2155" s="11"/>
    </row>
    <row r="2156" spans="1:10" ht="15.75" x14ac:dyDescent="0.3">
      <c r="A2156" s="12" t="str">
        <f>HYPERLINK("https://parts-sales.ru/parts/MAN/81254750015","81.25475-0015")</f>
        <v>81.25475-0015</v>
      </c>
      <c r="B2156" s="12" t="str">
        <f>HYPERLINK("https://parts-sales.ru/parts/MAN/81254750015","Корпус штекера 12-27,5X27,5-2,8-CODEB-C-")</f>
        <v>Корпус штекера 12-27,5X27,5-2,8-CODEB-C-</v>
      </c>
      <c r="C2156" s="3" t="s">
        <v>8</v>
      </c>
      <c r="D2156" s="4">
        <v>740.4</v>
      </c>
      <c r="E2156" s="4">
        <v>172</v>
      </c>
      <c r="F2156" s="8">
        <v>0.77</v>
      </c>
      <c r="H2156" s="11"/>
      <c r="I2156" s="11"/>
      <c r="J2156" s="11"/>
    </row>
    <row r="2157" spans="1:10" ht="15.75" x14ac:dyDescent="0.3">
      <c r="A2157" s="13" t="str">
        <f>HYPERLINK("https://parts-sales.ru/parts/MAN/81254750021","81.25475-0021")</f>
        <v>81.25475-0021</v>
      </c>
      <c r="B2157" s="13" t="str">
        <f>HYPERLINK("https://parts-sales.ru/parts/MAN/81254750021","Корпус штекера 12-27,5X27,5-2,8-CODEB-C-")</f>
        <v>Корпус штекера 12-27,5X27,5-2,8-CODEB-C-</v>
      </c>
      <c r="C2157" s="5" t="s">
        <v>8</v>
      </c>
      <c r="D2157" s="6">
        <v>740.4</v>
      </c>
      <c r="E2157" s="6">
        <v>172</v>
      </c>
      <c r="F2157" s="9">
        <v>0.77</v>
      </c>
      <c r="H2157" s="11"/>
      <c r="I2157" s="11"/>
      <c r="J2157" s="11"/>
    </row>
    <row r="2158" spans="1:10" ht="15.75" x14ac:dyDescent="0.3">
      <c r="A2158" s="12" t="str">
        <f>HYPERLINK("https://parts-sales.ru/parts/MAN/81254750022","81.25475-0022")</f>
        <v>81.25475-0022</v>
      </c>
      <c r="B2158" s="12" t="str">
        <f>HYPERLINK("https://parts-sales.ru/parts/MAN/81254750022","Корпус штекера 15-32,5X27,5-2,8-CODEB-C-")</f>
        <v>Корпус штекера 15-32,5X27,5-2,8-CODEB-C-</v>
      </c>
      <c r="C2158" s="3" t="s">
        <v>8</v>
      </c>
      <c r="D2158" s="4">
        <v>894</v>
      </c>
      <c r="E2158" s="4">
        <v>211</v>
      </c>
      <c r="F2158" s="8">
        <v>0.76</v>
      </c>
      <c r="H2158" s="11"/>
      <c r="I2158" s="11"/>
      <c r="J2158" s="11"/>
    </row>
    <row r="2159" spans="1:10" ht="15.75" x14ac:dyDescent="0.3">
      <c r="A2159" s="13" t="str">
        <f>HYPERLINK("https://parts-sales.ru/parts/MAN/81254750029","81.25475-0029")</f>
        <v>81.25475-0029</v>
      </c>
      <c r="B2159" s="13" t="str">
        <f>HYPERLINK("https://parts-sales.ru/parts/MAN/81254750029","Корпус штекера 18-37,5X27,5-2,8-CODEB-C-")</f>
        <v>Корпус штекера 18-37,5X27,5-2,8-CODEB-C-</v>
      </c>
      <c r="C2159" s="5" t="s">
        <v>8</v>
      </c>
      <c r="D2159" s="6">
        <v>796.8</v>
      </c>
      <c r="E2159" s="6">
        <v>306</v>
      </c>
      <c r="F2159" s="9">
        <v>0.62</v>
      </c>
      <c r="H2159" s="11"/>
      <c r="I2159" s="11"/>
      <c r="J2159" s="11"/>
    </row>
    <row r="2160" spans="1:10" ht="15.75" x14ac:dyDescent="0.3">
      <c r="A2160" s="12" t="str">
        <f>HYPERLINK("https://parts-sales.ru/parts/MAN/81254750038","81.25475-0038")</f>
        <v>81.25475-0038</v>
      </c>
      <c r="B2160" s="12" t="str">
        <f>HYPERLINK("https://parts-sales.ru/parts/MAN/81254750038","Корпус штекера 8-5,8-CODE1-NF")</f>
        <v>Корпус штекера 8-5,8-CODE1-NF</v>
      </c>
      <c r="C2160" s="3" t="s">
        <v>8</v>
      </c>
      <c r="D2160" s="4">
        <v>1026</v>
      </c>
      <c r="E2160" s="4">
        <v>196</v>
      </c>
      <c r="F2160" s="8">
        <v>0.81</v>
      </c>
      <c r="H2160" s="11"/>
      <c r="I2160" s="11"/>
      <c r="J2160" s="11"/>
    </row>
    <row r="2161" spans="1:10" ht="15.75" x14ac:dyDescent="0.3">
      <c r="A2161" s="13" t="str">
        <f>HYPERLINK("https://parts-sales.ru/parts/MAN/81254750046","81.25475-0046")</f>
        <v>81.25475-0046</v>
      </c>
      <c r="B2161" s="13" t="str">
        <f>HYPERLINK("https://parts-sales.ru/parts/MAN/81254750046","Корпус штекера 18-2,8-CODE6-NF")</f>
        <v>Корпус штекера 18-2,8-CODE6-NF</v>
      </c>
      <c r="C2161" s="5" t="s">
        <v>8</v>
      </c>
      <c r="D2161" s="6">
        <v>1026</v>
      </c>
      <c r="E2161" s="6">
        <v>329</v>
      </c>
      <c r="F2161" s="9">
        <v>0.68</v>
      </c>
      <c r="H2161" s="11"/>
      <c r="I2161" s="11"/>
      <c r="J2161" s="11"/>
    </row>
    <row r="2162" spans="1:10" ht="15.75" x14ac:dyDescent="0.3">
      <c r="A2162" s="12" t="str">
        <f>HYPERLINK("https://parts-sales.ru/parts/MAN/81254750048","81.25475-0048")</f>
        <v>81.25475-0048</v>
      </c>
      <c r="B2162" s="12" t="str">
        <f>HYPERLINK("https://parts-sales.ru/parts/MAN/81254750048","Адаптер C-4-CODEB-SW")</f>
        <v>Адаптер C-4-CODEB-SW</v>
      </c>
      <c r="C2162" s="3" t="s">
        <v>8</v>
      </c>
      <c r="D2162" s="4">
        <v>685.2</v>
      </c>
      <c r="E2162" s="4">
        <v>218</v>
      </c>
      <c r="F2162" s="8">
        <v>0.68</v>
      </c>
      <c r="H2162" s="11"/>
      <c r="I2162" s="11"/>
      <c r="J2162" s="11"/>
    </row>
    <row r="2163" spans="1:10" ht="15.75" x14ac:dyDescent="0.3">
      <c r="A2163" s="13" t="str">
        <f>HYPERLINK("https://parts-sales.ru/parts/MAN/81254750050","81.25475-0050")</f>
        <v>81.25475-0050</v>
      </c>
      <c r="B2163" s="13" t="str">
        <f>HYPERLINK("https://parts-sales.ru/parts/MAN/81254750050","Корпус штекера 18-2,8-CODE1-GE")</f>
        <v>Корпус штекера 18-2,8-CODE1-GE</v>
      </c>
      <c r="C2163" s="5" t="s">
        <v>8</v>
      </c>
      <c r="D2163" s="6">
        <v>1188</v>
      </c>
      <c r="E2163" s="6">
        <v>256</v>
      </c>
      <c r="F2163" s="9">
        <v>0.78</v>
      </c>
      <c r="H2163" s="11"/>
      <c r="I2163" s="11"/>
      <c r="J2163" s="11"/>
    </row>
    <row r="2164" spans="1:10" ht="15.75" x14ac:dyDescent="0.3">
      <c r="A2164" s="12" t="str">
        <f>HYPERLINK("https://parts-sales.ru/parts/MAN/81254750052","81.25475-0052")</f>
        <v>81.25475-0052</v>
      </c>
      <c r="B2164" s="12" t="str">
        <f>HYPERLINK("https://parts-sales.ru/parts/MAN/81254750052","Корпус штекера 18-2,8-CODE3-GE")</f>
        <v>Корпус штекера 18-2,8-CODE3-GE</v>
      </c>
      <c r="C2164" s="3" t="s">
        <v>8</v>
      </c>
      <c r="D2164" s="4">
        <v>1026</v>
      </c>
      <c r="E2164" s="4">
        <v>237</v>
      </c>
      <c r="F2164" s="8">
        <v>0.77</v>
      </c>
      <c r="H2164" s="11"/>
      <c r="I2164" s="11"/>
      <c r="J2164" s="11"/>
    </row>
    <row r="2165" spans="1:10" ht="15.75" x14ac:dyDescent="0.3">
      <c r="A2165" s="13" t="str">
        <f>HYPERLINK("https://parts-sales.ru/parts/MAN/81254750054","81.25475-0054")</f>
        <v>81.25475-0054</v>
      </c>
      <c r="B2165" s="13" t="str">
        <f>HYPERLINK("https://parts-sales.ru/parts/MAN/81254750054","Корпус штекера 18-2,8-CODE5-GE")</f>
        <v>Корпус штекера 18-2,8-CODE5-GE</v>
      </c>
      <c r="C2165" s="5" t="s">
        <v>8</v>
      </c>
      <c r="D2165" s="6">
        <v>1026</v>
      </c>
      <c r="E2165" s="6">
        <v>237</v>
      </c>
      <c r="F2165" s="9">
        <v>0.77</v>
      </c>
      <c r="H2165" s="11"/>
      <c r="I2165" s="11"/>
      <c r="J2165" s="11"/>
    </row>
    <row r="2166" spans="1:10" ht="15.75" x14ac:dyDescent="0.3">
      <c r="A2166" s="12" t="str">
        <f>HYPERLINK("https://parts-sales.ru/parts/MAN/81254750056","81.25475-0056")</f>
        <v>81.25475-0056</v>
      </c>
      <c r="B2166" s="12" t="str">
        <f>HYPERLINK("https://parts-sales.ru/parts/MAN/81254750056","Корпус штекера 18-2,8-CODE1-GE")</f>
        <v>Корпус штекера 18-2,8-CODE1-GE</v>
      </c>
      <c r="C2166" s="3" t="s">
        <v>8</v>
      </c>
      <c r="D2166" s="4">
        <v>1294.8</v>
      </c>
      <c r="E2166" s="4">
        <v>374</v>
      </c>
      <c r="F2166" s="8">
        <v>0.71</v>
      </c>
      <c r="H2166" s="11"/>
      <c r="I2166" s="11"/>
      <c r="J2166" s="11"/>
    </row>
    <row r="2167" spans="1:10" ht="15.75" x14ac:dyDescent="0.3">
      <c r="A2167" s="13" t="str">
        <f>HYPERLINK("https://parts-sales.ru/parts/MAN/81254750057","81.25475-0057")</f>
        <v>81.25475-0057</v>
      </c>
      <c r="B2167" s="13" t="str">
        <f>HYPERLINK("https://parts-sales.ru/parts/MAN/81254750057","Корпус штекера 18-2,8-CODE2-GE")</f>
        <v>Корпус штекера 18-2,8-CODE2-GE</v>
      </c>
      <c r="C2167" s="5" t="s">
        <v>8</v>
      </c>
      <c r="D2167" s="6">
        <v>1117.2</v>
      </c>
      <c r="E2167" s="6">
        <v>386</v>
      </c>
      <c r="F2167" s="9">
        <v>0.65</v>
      </c>
      <c r="H2167" s="11"/>
      <c r="I2167" s="11"/>
      <c r="J2167" s="11"/>
    </row>
    <row r="2168" spans="1:10" ht="15.75" x14ac:dyDescent="0.3">
      <c r="A2168" s="12" t="str">
        <f>HYPERLINK("https://parts-sales.ru/parts/MAN/81254750058","81.25475-0058")</f>
        <v>81.25475-0058</v>
      </c>
      <c r="B2168" s="12" t="str">
        <f>HYPERLINK("https://parts-sales.ru/parts/MAN/81254750058","Корпус штекера 18-2,8-CODE3-GE")</f>
        <v>Корпус штекера 18-2,8-CODE3-GE</v>
      </c>
      <c r="C2168" s="3" t="s">
        <v>8</v>
      </c>
      <c r="D2168" s="4">
        <v>1294.8</v>
      </c>
      <c r="E2168" s="4">
        <v>372</v>
      </c>
      <c r="F2168" s="8">
        <v>0.71</v>
      </c>
      <c r="H2168" s="11"/>
      <c r="I2168" s="11"/>
      <c r="J2168" s="11"/>
    </row>
    <row r="2169" spans="1:10" ht="15.75" x14ac:dyDescent="0.3">
      <c r="A2169" s="13" t="str">
        <f>HYPERLINK("https://parts-sales.ru/parts/MAN/81254750061","81.25475-0061")</f>
        <v>81.25475-0061</v>
      </c>
      <c r="B2169" s="13" t="str">
        <f>HYPERLINK("https://parts-sales.ru/parts/MAN/81254750061","Корпус штекера 18-2,8-CODE6-GE")</f>
        <v>Корпус штекера 18-2,8-CODE6-GE</v>
      </c>
      <c r="C2169" s="5" t="s">
        <v>8</v>
      </c>
      <c r="D2169" s="6">
        <v>1294.8</v>
      </c>
      <c r="E2169" s="6">
        <v>382</v>
      </c>
      <c r="F2169" s="9">
        <v>0.7</v>
      </c>
      <c r="H2169" s="11"/>
      <c r="I2169" s="11"/>
      <c r="J2169" s="11"/>
    </row>
    <row r="2170" spans="1:10" ht="15.75" x14ac:dyDescent="0.3">
      <c r="A2170" s="12" t="str">
        <f>HYPERLINK("https://parts-sales.ru/parts/MAN/81254750063","81.25475-0063")</f>
        <v>81.25475-0063</v>
      </c>
      <c r="B2170" s="12" t="str">
        <f>HYPERLINK("https://parts-sales.ru/parts/MAN/81254750063","Проведение (проводка) 1-M6-NF")</f>
        <v>Проведение (проводка) 1-M6-NF</v>
      </c>
      <c r="C2170" s="3" t="s">
        <v>8</v>
      </c>
      <c r="D2170" s="4">
        <v>1938</v>
      </c>
      <c r="E2170" s="4">
        <v>415</v>
      </c>
      <c r="F2170" s="8">
        <v>0.79</v>
      </c>
      <c r="H2170" s="11"/>
      <c r="I2170" s="11"/>
      <c r="J2170" s="11"/>
    </row>
    <row r="2171" spans="1:10" ht="15.75" x14ac:dyDescent="0.3">
      <c r="A2171" s="13" t="str">
        <f>HYPERLINK("https://parts-sales.ru/parts/MAN/81254750065","81.25475-0065")</f>
        <v>81.25475-0065</v>
      </c>
      <c r="B2171" s="13" t="str">
        <f>HYPERLINK("https://parts-sales.ru/parts/MAN/81254750065","Блокировка Золотник")</f>
        <v>Блокировка Золотник</v>
      </c>
      <c r="C2171" s="5" t="s">
        <v>8</v>
      </c>
      <c r="D2171" s="6">
        <v>446.4</v>
      </c>
      <c r="E2171" s="6">
        <v>101</v>
      </c>
      <c r="F2171" s="9">
        <v>0.77</v>
      </c>
      <c r="H2171" s="11"/>
      <c r="I2171" s="11"/>
      <c r="J2171" s="11"/>
    </row>
    <row r="2172" spans="1:10" ht="15.75" x14ac:dyDescent="0.3">
      <c r="A2172" s="12" t="str">
        <f>HYPERLINK("https://parts-sales.ru/parts/MAN/81254750083","81.25475-0083")</f>
        <v>81.25475-0083</v>
      </c>
      <c r="B2172" s="12" t="str">
        <f>HYPERLINK("https://parts-sales.ru/parts/MAN/81254750083","Корпус штекера 2-2,8-/ST-SW")</f>
        <v>Корпус штекера 2-2,8-/ST-SW</v>
      </c>
      <c r="C2172" s="3" t="s">
        <v>8</v>
      </c>
      <c r="D2172" s="4">
        <v>240.52</v>
      </c>
      <c r="E2172" s="4">
        <v>161</v>
      </c>
      <c r="F2172" s="8">
        <v>0.33</v>
      </c>
      <c r="H2172" s="11"/>
      <c r="I2172" s="11"/>
      <c r="J2172" s="11"/>
    </row>
    <row r="2173" spans="1:10" ht="15.75" x14ac:dyDescent="0.3">
      <c r="A2173" s="13" t="str">
        <f>HYPERLINK("https://parts-sales.ru/parts/MAN/81254750091","81.25475-0091")</f>
        <v>81.25475-0091</v>
      </c>
      <c r="B2173" s="13" t="str">
        <f>HYPERLINK("https://parts-sales.ru/parts/MAN/81254750091","Корпус штекера 2-13,3X9,5-2,8-NF")</f>
        <v>Корпус штекера 2-13,3X9,5-2,8-NF</v>
      </c>
      <c r="C2173" s="5" t="s">
        <v>8</v>
      </c>
      <c r="D2173" s="6">
        <v>332.4</v>
      </c>
      <c r="E2173" s="6">
        <v>101</v>
      </c>
      <c r="F2173" s="9">
        <v>0.7</v>
      </c>
      <c r="H2173" s="11"/>
      <c r="I2173" s="11"/>
      <c r="J2173" s="11"/>
    </row>
    <row r="2174" spans="1:10" ht="15.75" x14ac:dyDescent="0.3">
      <c r="A2174" s="12" t="str">
        <f>HYPERLINK("https://parts-sales.ru/parts/MAN/81254750095","81.25475-0095")</f>
        <v>81.25475-0095</v>
      </c>
      <c r="B2174" s="12" t="str">
        <f>HYPERLINK("https://parts-sales.ru/parts/MAN/81254750095","Корпус штекера 3-2,8-CODE2/ST-SW")</f>
        <v>Корпус штекера 3-2,8-CODE2/ST-SW</v>
      </c>
      <c r="C2174" s="3" t="s">
        <v>8</v>
      </c>
      <c r="D2174" s="4">
        <v>1034.4000000000001</v>
      </c>
      <c r="E2174" s="4">
        <v>402</v>
      </c>
      <c r="F2174" s="8">
        <v>0.61</v>
      </c>
      <c r="H2174" s="11"/>
      <c r="I2174" s="11"/>
      <c r="J2174" s="11"/>
    </row>
    <row r="2175" spans="1:10" ht="15.75" x14ac:dyDescent="0.3">
      <c r="A2175" s="13" t="str">
        <f>HYPERLINK("https://parts-sales.ru/parts/MAN/81254750102","81.25475-0102")</f>
        <v>81.25475-0102</v>
      </c>
      <c r="B2175" s="13" t="str">
        <f>HYPERLINK("https://parts-sales.ru/parts/MAN/81254750102","Корпус штекера 8-28,0X14,2-2,8-CODEB-NF")</f>
        <v>Корпус штекера 8-28,0X14,2-2,8-CODEB-NF</v>
      </c>
      <c r="C2175" s="5" t="s">
        <v>8</v>
      </c>
      <c r="D2175" s="6">
        <v>885.6</v>
      </c>
      <c r="E2175" s="6">
        <v>162</v>
      </c>
      <c r="F2175" s="9">
        <v>0.82</v>
      </c>
      <c r="H2175" s="11"/>
      <c r="I2175" s="11"/>
      <c r="J2175" s="11"/>
    </row>
    <row r="2176" spans="1:10" ht="15.75" x14ac:dyDescent="0.3">
      <c r="A2176" s="12" t="str">
        <f>HYPERLINK("https://parts-sales.ru/parts/MAN/81254750105","81.25475-0105")</f>
        <v>81.25475-0105</v>
      </c>
      <c r="B2176" s="12" t="str">
        <f>HYPERLINK("https://parts-sales.ru/parts/MAN/81254750105","Блокировка 7-полюсный")</f>
        <v>Блокировка 7-полюсный</v>
      </c>
      <c r="C2176" s="3" t="s">
        <v>8</v>
      </c>
      <c r="D2176" s="4">
        <v>400.8</v>
      </c>
      <c r="E2176" s="4">
        <v>162</v>
      </c>
      <c r="F2176" s="8">
        <v>0.6</v>
      </c>
      <c r="H2176" s="11"/>
      <c r="I2176" s="11"/>
      <c r="J2176" s="11"/>
    </row>
    <row r="2177" spans="1:10" ht="15.75" x14ac:dyDescent="0.3">
      <c r="A2177" s="13" t="str">
        <f>HYPERLINK("https://parts-sales.ru/parts/MAN/81254750106","81.25475-0106")</f>
        <v>81.25475-0106</v>
      </c>
      <c r="B2177" s="13" t="str">
        <f>HYPERLINK("https://parts-sales.ru/parts/MAN/81254750106","Адаптер B-3-CODEB-SW")</f>
        <v>Адаптер B-3-CODEB-SW</v>
      </c>
      <c r="C2177" s="5" t="s">
        <v>8</v>
      </c>
      <c r="D2177" s="6">
        <v>685.2</v>
      </c>
      <c r="E2177" s="6">
        <v>167</v>
      </c>
      <c r="F2177" s="9">
        <v>0.76</v>
      </c>
      <c r="H2177" s="11"/>
      <c r="I2177" s="11"/>
      <c r="J2177" s="11"/>
    </row>
    <row r="2178" spans="1:10" ht="15.75" x14ac:dyDescent="0.3">
      <c r="A2178" s="12" t="str">
        <f>HYPERLINK("https://parts-sales.ru/parts/MAN/81254750107","81.25475-0107")</f>
        <v>81.25475-0107</v>
      </c>
      <c r="B2178" s="12" t="str">
        <f>HYPERLINK("https://parts-sales.ru/parts/MAN/81254750107","Адаптер A-2-CODEA-GR")</f>
        <v>Адаптер A-2-CODEA-GR</v>
      </c>
      <c r="C2178" s="3" t="s">
        <v>8</v>
      </c>
      <c r="D2178" s="4">
        <v>574.79999999999995</v>
      </c>
      <c r="E2178" s="4">
        <v>19</v>
      </c>
      <c r="F2178" s="8">
        <v>0.97</v>
      </c>
      <c r="H2178" s="11"/>
      <c r="I2178" s="11"/>
      <c r="J2178" s="11"/>
    </row>
    <row r="2179" spans="1:10" ht="15.75" x14ac:dyDescent="0.3">
      <c r="A2179" s="13" t="str">
        <f>HYPERLINK("https://parts-sales.ru/parts/MAN/81254750112","81.25475-0112")</f>
        <v>81.25475-0112</v>
      </c>
      <c r="B2179" s="13" t="str">
        <f>HYPERLINK("https://parts-sales.ru/parts/MAN/81254750112","Корпус штекера 8-2,8-/ST-SW")</f>
        <v>Корпус штекера 8-2,8-/ST-SW</v>
      </c>
      <c r="C2179" s="5" t="s">
        <v>8</v>
      </c>
      <c r="D2179" s="6">
        <v>1020</v>
      </c>
      <c r="E2179" s="6">
        <v>101</v>
      </c>
      <c r="F2179" s="9">
        <v>0.9</v>
      </c>
      <c r="H2179" s="11"/>
      <c r="I2179" s="11"/>
      <c r="J2179" s="11"/>
    </row>
    <row r="2180" spans="1:10" ht="15.75" x14ac:dyDescent="0.3">
      <c r="A2180" s="12" t="str">
        <f>HYPERLINK("https://parts-sales.ru/parts/MAN/81254750115","81.25475-0115")</f>
        <v>81.25475-0115</v>
      </c>
      <c r="B2180" s="12" t="str">
        <f>HYPERLINK("https://parts-sales.ru/parts/MAN/81254750115","Корпус штекера 8-2,8-/ST-SW")</f>
        <v>Корпус штекера 8-2,8-/ST-SW</v>
      </c>
      <c r="C2180" s="3" t="s">
        <v>8</v>
      </c>
      <c r="D2180" s="4">
        <v>656.4</v>
      </c>
      <c r="E2180" s="4">
        <v>90</v>
      </c>
      <c r="F2180" s="8">
        <v>0.86</v>
      </c>
      <c r="H2180" s="11"/>
      <c r="I2180" s="11"/>
      <c r="J2180" s="11"/>
    </row>
    <row r="2181" spans="1:10" ht="15.75" x14ac:dyDescent="0.3">
      <c r="A2181" s="13" t="str">
        <f>HYPERLINK("https://parts-sales.ru/parts/MAN/81254750118","81.25475-0118")</f>
        <v>81.25475-0118</v>
      </c>
      <c r="B2181" s="13" t="str">
        <f>HYPERLINK("https://parts-sales.ru/parts/MAN/81254750118","Цоколь реле 10-2,8-5,8-SW/GR")</f>
        <v>Цоколь реле 10-2,8-5,8-SW/GR</v>
      </c>
      <c r="C2181" s="5" t="s">
        <v>8</v>
      </c>
      <c r="D2181" s="6">
        <v>1210.8</v>
      </c>
      <c r="E2181" s="6">
        <v>542</v>
      </c>
      <c r="F2181" s="9">
        <v>0.55000000000000004</v>
      </c>
      <c r="H2181" s="11"/>
      <c r="I2181" s="11"/>
      <c r="J2181" s="11"/>
    </row>
    <row r="2182" spans="1:10" ht="15.75" x14ac:dyDescent="0.3">
      <c r="A2182" s="12" t="str">
        <f>HYPERLINK("https://parts-sales.ru/parts/MAN/81254750127","81.25475-0127")</f>
        <v>81.25475-0127</v>
      </c>
      <c r="B2182" s="12" t="str">
        <f>HYPERLINK("https://parts-sales.ru/parts/MAN/81254750127","Адаптер B-3-CODEA-GR")</f>
        <v>Адаптер B-3-CODEA-GR</v>
      </c>
      <c r="C2182" s="3" t="s">
        <v>8</v>
      </c>
      <c r="D2182" s="4">
        <v>685.2</v>
      </c>
      <c r="E2182" s="4">
        <v>270</v>
      </c>
      <c r="F2182" s="8">
        <v>0.61</v>
      </c>
      <c r="H2182" s="11"/>
      <c r="I2182" s="11"/>
      <c r="J2182" s="11"/>
    </row>
    <row r="2183" spans="1:10" ht="15.75" x14ac:dyDescent="0.3">
      <c r="A2183" s="13" t="str">
        <f>HYPERLINK("https://parts-sales.ru/parts/MAN/81254750134","81.25475-0134")</f>
        <v>81.25475-0134</v>
      </c>
      <c r="B2183" s="13" t="str">
        <f>HYPERLINK("https://parts-sales.ru/parts/MAN/81254750134","Корпус штепс. гильзы 10-полюсный")</f>
        <v>Корпус штепс. гильзы 10-полюсный</v>
      </c>
      <c r="C2183" s="5" t="s">
        <v>8</v>
      </c>
      <c r="D2183" s="6">
        <v>1399.2</v>
      </c>
      <c r="E2183" s="6">
        <v>316</v>
      </c>
      <c r="F2183" s="9">
        <v>0.77</v>
      </c>
      <c r="H2183" s="11"/>
      <c r="I2183" s="11"/>
      <c r="J2183" s="11"/>
    </row>
    <row r="2184" spans="1:10" ht="15.75" x14ac:dyDescent="0.3">
      <c r="A2184" s="12" t="str">
        <f>HYPERLINK("https://parts-sales.ru/parts/MAN/81254750135","81.25475-0135")</f>
        <v>81.25475-0135</v>
      </c>
      <c r="B2184" s="12" t="str">
        <f>HYPERLINK("https://parts-sales.ru/parts/MAN/81254750135","Держатель предохранителя 2-5,8-/ST-SW/TS")</f>
        <v>Держатель предохранителя 2-5,8-/ST-SW/TS</v>
      </c>
      <c r="C2184" s="3" t="s">
        <v>8</v>
      </c>
      <c r="D2184" s="4">
        <v>900</v>
      </c>
      <c r="E2184" s="4">
        <v>82</v>
      </c>
      <c r="F2184" s="8">
        <v>0.91</v>
      </c>
      <c r="H2184" s="11"/>
      <c r="I2184" s="11"/>
      <c r="J2184" s="11"/>
    </row>
    <row r="2185" spans="1:10" ht="15.75" x14ac:dyDescent="0.3">
      <c r="A2185" s="13" t="str">
        <f>HYPERLINK("https://parts-sales.ru/parts/MAN/81254750158","81.25475-0158")</f>
        <v>81.25475-0158</v>
      </c>
      <c r="B2185" s="13" t="str">
        <f>HYPERLINK("https://parts-sales.ru/parts/MAN/81254750158","Крышка")</f>
        <v>Крышка</v>
      </c>
      <c r="C2185" s="5" t="s">
        <v>8</v>
      </c>
      <c r="D2185" s="6">
        <v>829.2</v>
      </c>
      <c r="E2185" s="6">
        <v>192</v>
      </c>
      <c r="F2185" s="9">
        <v>0.77</v>
      </c>
      <c r="H2185" s="11"/>
      <c r="I2185" s="11"/>
      <c r="J2185" s="11"/>
    </row>
    <row r="2186" spans="1:10" ht="15.75" x14ac:dyDescent="0.3">
      <c r="A2186" s="12" t="str">
        <f>HYPERLINK("https://parts-sales.ru/parts/MAN/81254750160","81.25475-0160")</f>
        <v>81.25475-0160</v>
      </c>
      <c r="B2186" s="12" t="str">
        <f>HYPERLINK("https://parts-sales.ru/parts/MAN/81254750160","Держатель контакта")</f>
        <v>Держатель контакта</v>
      </c>
      <c r="C2186" s="3" t="s">
        <v>8</v>
      </c>
      <c r="D2186" s="4">
        <v>9849.6</v>
      </c>
      <c r="E2186" s="4">
        <v>2230</v>
      </c>
      <c r="F2186" s="8">
        <v>0.77</v>
      </c>
      <c r="H2186" s="11"/>
      <c r="I2186" s="11"/>
      <c r="J2186" s="11"/>
    </row>
    <row r="2187" spans="1:10" ht="15.75" x14ac:dyDescent="0.3">
      <c r="A2187" s="13" t="str">
        <f>HYPERLINK("https://parts-sales.ru/parts/MAN/81254750163","81.25475-0163")</f>
        <v>81.25475-0163</v>
      </c>
      <c r="B2187" s="13" t="str">
        <f>HYPERLINK("https://parts-sales.ru/parts/MAN/81254750163","Корпус штекера 21-2,8-CODE1/ST-SW")</f>
        <v>Корпус штекера 21-2,8-CODE1/ST-SW</v>
      </c>
      <c r="C2187" s="5" t="s">
        <v>8</v>
      </c>
      <c r="D2187" s="6">
        <v>1683.6</v>
      </c>
      <c r="E2187" s="6">
        <v>632</v>
      </c>
      <c r="F2187" s="9">
        <v>0.62</v>
      </c>
      <c r="H2187" s="11"/>
      <c r="I2187" s="11"/>
      <c r="J2187" s="11"/>
    </row>
    <row r="2188" spans="1:10" ht="15.75" x14ac:dyDescent="0.3">
      <c r="A2188" s="12" t="str">
        <f>HYPERLINK("https://parts-sales.ru/parts/MAN/81254750164","81.25475-0164")</f>
        <v>81.25475-0164</v>
      </c>
      <c r="B2188" s="12" t="str">
        <f>HYPERLINK("https://parts-sales.ru/parts/MAN/81254750164","Корпус штекера 21-2,8-CODE2/ST-SW")</f>
        <v>Корпус штекера 21-2,8-CODE2/ST-SW</v>
      </c>
      <c r="C2188" s="3" t="s">
        <v>8</v>
      </c>
      <c r="D2188" s="4">
        <v>1683.6</v>
      </c>
      <c r="E2188" s="4">
        <v>569</v>
      </c>
      <c r="F2188" s="8">
        <v>0.66</v>
      </c>
      <c r="H2188" s="11"/>
      <c r="I2188" s="11"/>
      <c r="J2188" s="11"/>
    </row>
    <row r="2189" spans="1:10" ht="15.75" x14ac:dyDescent="0.3">
      <c r="A2189" s="13" t="str">
        <f>HYPERLINK("https://parts-sales.ru/parts/MAN/81254750165","81.25475-0165")</f>
        <v>81.25475-0165</v>
      </c>
      <c r="B2189" s="13" t="str">
        <f>HYPERLINK("https://parts-sales.ru/parts/MAN/81254750165","Блокировка синий")</f>
        <v>Блокировка синий</v>
      </c>
      <c r="C2189" s="5" t="s">
        <v>8</v>
      </c>
      <c r="D2189" s="6">
        <v>207.6</v>
      </c>
      <c r="E2189" s="6">
        <v>41</v>
      </c>
      <c r="F2189" s="9">
        <v>0.8</v>
      </c>
      <c r="H2189" s="11"/>
      <c r="I2189" s="11"/>
      <c r="J2189" s="11"/>
    </row>
    <row r="2190" spans="1:10" ht="15.75" x14ac:dyDescent="0.3">
      <c r="A2190" s="12" t="str">
        <f>HYPERLINK("https://parts-sales.ru/parts/MAN/81254750185","81.25475-0185")</f>
        <v>81.25475-0185</v>
      </c>
      <c r="B2190" s="12" t="str">
        <f>HYPERLINK("https://parts-sales.ru/parts/MAN/81254750185","Корпус штекера C4-32,0-2,5-CODE3/ST-GN/S")</f>
        <v>Корпус штекера C4-32,0-2,5-CODE3/ST-GN/S</v>
      </c>
      <c r="C2190" s="3" t="s">
        <v>8</v>
      </c>
      <c r="D2190" s="4">
        <v>2168.4</v>
      </c>
      <c r="E2190" s="4">
        <v>514</v>
      </c>
      <c r="F2190" s="8">
        <v>0.76</v>
      </c>
      <c r="H2190" s="11"/>
      <c r="I2190" s="11"/>
      <c r="J2190" s="11"/>
    </row>
    <row r="2191" spans="1:10" ht="15.75" x14ac:dyDescent="0.3">
      <c r="A2191" s="13" t="str">
        <f>HYPERLINK("https://parts-sales.ru/parts/MAN/81254750216","81.25475-0216")</f>
        <v>81.25475-0216</v>
      </c>
      <c r="B2191" s="13" t="str">
        <f>HYPERLINK("https://parts-sales.ru/parts/MAN/81254750216","Блокировка")</f>
        <v>Блокировка</v>
      </c>
      <c r="C2191" s="5" t="s">
        <v>8</v>
      </c>
      <c r="D2191" s="6">
        <v>619.20000000000005</v>
      </c>
      <c r="E2191" s="6">
        <v>132</v>
      </c>
      <c r="F2191" s="9">
        <v>0.79</v>
      </c>
      <c r="H2191" s="11"/>
      <c r="I2191" s="11"/>
      <c r="J2191" s="11"/>
    </row>
    <row r="2192" spans="1:10" ht="15.75" x14ac:dyDescent="0.3">
      <c r="A2192" s="12" t="str">
        <f>HYPERLINK("https://parts-sales.ru/parts/MAN/81254750218","81.25475-0218")</f>
        <v>81.25475-0218</v>
      </c>
      <c r="B2192" s="12" t="str">
        <f>HYPERLINK("https://parts-sales.ru/parts/MAN/81254750218","Корпус штекера 3-2,8-CODE1/ST-SW")</f>
        <v>Корпус штекера 3-2,8-CODE1/ST-SW</v>
      </c>
      <c r="C2192" s="3" t="s">
        <v>8</v>
      </c>
      <c r="D2192" s="4">
        <v>1068</v>
      </c>
      <c r="E2192" s="4">
        <v>248</v>
      </c>
      <c r="F2192" s="8">
        <v>0.77</v>
      </c>
      <c r="H2192" s="11"/>
      <c r="I2192" s="11"/>
      <c r="J2192" s="11"/>
    </row>
    <row r="2193" spans="1:10" ht="15.75" x14ac:dyDescent="0.3">
      <c r="A2193" s="13" t="str">
        <f>HYPERLINK("https://parts-sales.ru/parts/MAN/81254750238","81.25475-0238")</f>
        <v>81.25475-0238</v>
      </c>
      <c r="B2193" s="13" t="str">
        <f>HYPERLINK("https://parts-sales.ru/parts/MAN/81254750238","Блокировка 35,5X11,5X9,3-PBT-GE")</f>
        <v>Блокировка 35,5X11,5X9,3-PBT-GE</v>
      </c>
      <c r="C2193" s="5" t="s">
        <v>8</v>
      </c>
      <c r="D2193" s="6">
        <v>157.9</v>
      </c>
      <c r="E2193" s="6">
        <v>54</v>
      </c>
      <c r="F2193" s="9">
        <v>0.66</v>
      </c>
      <c r="H2193" s="11"/>
      <c r="I2193" s="11"/>
      <c r="J2193" s="11"/>
    </row>
    <row r="2194" spans="1:10" ht="15.75" x14ac:dyDescent="0.3">
      <c r="A2194" s="12" t="str">
        <f>HYPERLINK("https://parts-sales.ru/parts/MAN/81254750280","81.25475-0280")</f>
        <v>81.25475-0280</v>
      </c>
      <c r="B2194" s="12" t="str">
        <f>HYPERLINK("https://parts-sales.ru/parts/MAN/81254750280","Корпус втулки 6POLIG-CODE-A-HDSCS-B")</f>
        <v>Корпус втулки 6POLIG-CODE-A-HDSCS-B</v>
      </c>
      <c r="C2194" s="3" t="s">
        <v>8</v>
      </c>
      <c r="D2194" s="4">
        <v>751.2</v>
      </c>
      <c r="E2194" s="4">
        <v>203</v>
      </c>
      <c r="F2194" s="8">
        <v>0.73</v>
      </c>
      <c r="H2194" s="11"/>
      <c r="I2194" s="11"/>
      <c r="J2194" s="11"/>
    </row>
    <row r="2195" spans="1:10" ht="15.75" x14ac:dyDescent="0.3">
      <c r="A2195" s="13" t="str">
        <f>HYPERLINK("https://parts-sales.ru/parts/MAN/81254750281","81.25475-0281")</f>
        <v>81.25475-0281</v>
      </c>
      <c r="B2195" s="13" t="str">
        <f>HYPERLINK("https://parts-sales.ru/parts/MAN/81254750281","Корпус штифта 6-полюсный")</f>
        <v>Корпус штифта 6-полюсный</v>
      </c>
      <c r="C2195" s="5" t="s">
        <v>8</v>
      </c>
      <c r="D2195" s="6">
        <v>1380</v>
      </c>
      <c r="E2195" s="6">
        <v>294</v>
      </c>
      <c r="F2195" s="9">
        <v>0.79</v>
      </c>
      <c r="H2195" s="11"/>
      <c r="I2195" s="11"/>
      <c r="J2195" s="11"/>
    </row>
    <row r="2196" spans="1:10" ht="15.75" x14ac:dyDescent="0.3">
      <c r="A2196" s="12" t="str">
        <f>HYPERLINK("https://parts-sales.ru/parts/MAN/81254750285","81.25475-0285")</f>
        <v>81.25475-0285</v>
      </c>
      <c r="B2196" s="12" t="str">
        <f>HYPERLINK("https://parts-sales.ru/parts/MAN/81254750285","Корпус штифта 12-полюсный")</f>
        <v>Корпус штифта 12-полюсный</v>
      </c>
      <c r="C2196" s="3" t="s">
        <v>8</v>
      </c>
      <c r="D2196" s="4">
        <v>1532.4</v>
      </c>
      <c r="E2196" s="4">
        <v>319</v>
      </c>
      <c r="F2196" s="8">
        <v>0.79</v>
      </c>
      <c r="H2196" s="11"/>
      <c r="I2196" s="11"/>
      <c r="J2196" s="11"/>
    </row>
    <row r="2197" spans="1:10" ht="15.75" x14ac:dyDescent="0.3">
      <c r="A2197" s="13" t="str">
        <f>HYPERLINK("https://parts-sales.ru/parts/MAN/81254750287","81.25475-0287")</f>
        <v>81.25475-0287</v>
      </c>
      <c r="B2197" s="13" t="str">
        <f>HYPERLINK("https://parts-sales.ru/parts/MAN/81254750287","Блокировка HDSCS-B-3MM Ge")</f>
        <v>Блокировка HDSCS-B-3MM Ge</v>
      </c>
      <c r="C2197" s="5" t="s">
        <v>8</v>
      </c>
      <c r="D2197" s="6">
        <v>351.6</v>
      </c>
      <c r="E2197" s="6">
        <v>73</v>
      </c>
      <c r="F2197" s="9">
        <v>0.79</v>
      </c>
      <c r="H2197" s="11"/>
      <c r="I2197" s="11"/>
      <c r="J2197" s="11"/>
    </row>
    <row r="2198" spans="1:10" ht="15.75" x14ac:dyDescent="0.3">
      <c r="A2198" s="12" t="str">
        <f>HYPERLINK("https://parts-sales.ru/parts/MAN/81254750303","81.25475-0303")</f>
        <v>81.25475-0303</v>
      </c>
      <c r="B2198" s="12" t="str">
        <f>HYPERLINK("https://parts-sales.ru/parts/MAN/81254750303","Корпус втулки 12+4POLIG-CODE-A-HDSCS-E")</f>
        <v>Корпус втулки 12+4POLIG-CODE-A-HDSCS-E</v>
      </c>
      <c r="C2198" s="3" t="s">
        <v>8</v>
      </c>
      <c r="D2198" s="4">
        <v>1663.2</v>
      </c>
      <c r="E2198" s="4">
        <v>269</v>
      </c>
      <c r="F2198" s="8">
        <v>0.84</v>
      </c>
      <c r="H2198" s="11"/>
      <c r="I2198" s="11"/>
      <c r="J2198" s="11"/>
    </row>
    <row r="2199" spans="1:10" ht="15.75" x14ac:dyDescent="0.3">
      <c r="A2199" s="13" t="str">
        <f>HYPERLINK("https://parts-sales.ru/parts/MAN/81254750311","81.25475-0311")</f>
        <v>81.25475-0311</v>
      </c>
      <c r="B2199" s="13" t="str">
        <f>HYPERLINK("https://parts-sales.ru/parts/MAN/81254750311","Корпус втулки 18-полюсный")</f>
        <v>Корпус втулки 18-полюсный</v>
      </c>
      <c r="C2199" s="5" t="s">
        <v>8</v>
      </c>
      <c r="D2199" s="6">
        <v>1340.4</v>
      </c>
      <c r="E2199" s="6">
        <v>391</v>
      </c>
      <c r="F2199" s="9">
        <v>0.71</v>
      </c>
      <c r="H2199" s="11"/>
      <c r="I2199" s="11"/>
      <c r="J2199" s="11"/>
    </row>
    <row r="2200" spans="1:10" ht="15.75" x14ac:dyDescent="0.3">
      <c r="A2200" s="12" t="str">
        <f>HYPERLINK("https://parts-sales.ru/parts/MAN/81254750314","81.25475-0314")</f>
        <v>81.25475-0314</v>
      </c>
      <c r="B2200" s="12" t="str">
        <f>HYPERLINK("https://parts-sales.ru/parts/MAN/81254750314","Корпус втулки 8-полюсный")</f>
        <v>Корпус втулки 8-полюсный</v>
      </c>
      <c r="C2200" s="3" t="s">
        <v>8</v>
      </c>
      <c r="D2200" s="4">
        <v>682.8</v>
      </c>
      <c r="E2200" s="4">
        <v>175</v>
      </c>
      <c r="F2200" s="8">
        <v>0.74</v>
      </c>
      <c r="H2200" s="11"/>
      <c r="I2200" s="11"/>
      <c r="J2200" s="11"/>
    </row>
    <row r="2201" spans="1:10" ht="15.75" x14ac:dyDescent="0.3">
      <c r="A2201" s="13" t="str">
        <f>HYPERLINK("https://parts-sales.ru/parts/MAN/81254750342","81.25475-0342")</f>
        <v>81.25475-0342</v>
      </c>
      <c r="B2201" s="13" t="str">
        <f>HYPERLINK("https://parts-sales.ru/parts/MAN/81254750342","Корпус втулки 26POLIG CODE A")</f>
        <v>Корпус втулки 26POLIG CODE A</v>
      </c>
      <c r="C2201" s="5" t="s">
        <v>8</v>
      </c>
      <c r="D2201" s="6">
        <v>3795.6</v>
      </c>
      <c r="E2201" s="6">
        <v>998</v>
      </c>
      <c r="F2201" s="9">
        <v>0.74</v>
      </c>
      <c r="H2201" s="11"/>
      <c r="I2201" s="11"/>
      <c r="J2201" s="11"/>
    </row>
    <row r="2202" spans="1:10" ht="15.75" x14ac:dyDescent="0.3">
      <c r="A2202" s="12" t="str">
        <f>HYPERLINK("https://parts-sales.ru/parts/MAN/81254750355","81.25475-0355")</f>
        <v>81.25475-0355</v>
      </c>
      <c r="B2202" s="12" t="str">
        <f>HYPERLINK("https://parts-sales.ru/parts/MAN/81254750355","Корпус штифта 4-полюсный")</f>
        <v>Корпус штифта 4-полюсный</v>
      </c>
      <c r="C2202" s="3" t="s">
        <v>8</v>
      </c>
      <c r="D2202" s="4">
        <v>1191.5999999999999</v>
      </c>
      <c r="E2202" s="4">
        <v>279</v>
      </c>
      <c r="F2202" s="8">
        <v>0.77</v>
      </c>
      <c r="H2202" s="11"/>
      <c r="I2202" s="11"/>
      <c r="J2202" s="11"/>
    </row>
    <row r="2203" spans="1:10" ht="15.75" x14ac:dyDescent="0.3">
      <c r="A2203" s="13" t="str">
        <f>HYPERLINK("https://parts-sales.ru/parts/MAN/81254750433","81.25475-0433")</f>
        <v>81.25475-0433</v>
      </c>
      <c r="B2203" s="13" t="str">
        <f>HYPERLINK("https://parts-sales.ru/parts/MAN/81254750433","Корпус штекера 21-полюсный")</f>
        <v>Корпус штекера 21-полюсный</v>
      </c>
      <c r="C2203" s="5" t="s">
        <v>8</v>
      </c>
      <c r="D2203" s="6">
        <v>312</v>
      </c>
      <c r="E2203" s="6">
        <v>80</v>
      </c>
      <c r="F2203" s="9">
        <v>0.74</v>
      </c>
      <c r="H2203" s="11"/>
      <c r="I2203" s="11"/>
      <c r="J2203" s="11"/>
    </row>
    <row r="2204" spans="1:10" ht="15.75" x14ac:dyDescent="0.3">
      <c r="A2204" s="12" t="str">
        <f>HYPERLINK("https://parts-sales.ru/parts/MAN/81254756006","81.25475-6006")</f>
        <v>81.25475-6006</v>
      </c>
      <c r="B2204" s="12" t="str">
        <f>HYPERLINK("https://parts-sales.ru/parts/MAN/81254756006","Комплект деталей дополнительное освещени")</f>
        <v>Комплект деталей дополнительное освещени</v>
      </c>
      <c r="C2204" s="3" t="s">
        <v>8</v>
      </c>
      <c r="D2204" s="4">
        <v>6345.79</v>
      </c>
      <c r="E2204" s="4">
        <v>2907</v>
      </c>
      <c r="F2204" s="8">
        <v>0.54</v>
      </c>
      <c r="H2204" s="11"/>
      <c r="I2204" s="11"/>
      <c r="J2204" s="11"/>
    </row>
    <row r="2205" spans="1:10" ht="15.75" x14ac:dyDescent="0.3">
      <c r="A2205" s="13" t="str">
        <f>HYPERLINK("https://parts-sales.ru/parts/MAN/81254756012","81.25475-6012")</f>
        <v>81.25475-6012</v>
      </c>
      <c r="B2205" s="13" t="str">
        <f>HYPERLINK("https://parts-sales.ru/parts/MAN/81254756012","Держатель контакта")</f>
        <v>Держатель контакта</v>
      </c>
      <c r="C2205" s="5" t="s">
        <v>8</v>
      </c>
      <c r="D2205" s="6">
        <v>2749.2</v>
      </c>
      <c r="E2205" s="6">
        <v>490</v>
      </c>
      <c r="F2205" s="9">
        <v>0.82</v>
      </c>
      <c r="H2205" s="11"/>
      <c r="I2205" s="11"/>
      <c r="J2205" s="11"/>
    </row>
    <row r="2206" spans="1:10" ht="15.75" x14ac:dyDescent="0.3">
      <c r="A2206" s="12" t="str">
        <f>HYPERLINK("https://parts-sales.ru/parts/MAN/81254756013","81.25475-6013")</f>
        <v>81.25475-6013</v>
      </c>
      <c r="B2206" s="12" t="str">
        <f>HYPERLINK("https://parts-sales.ru/parts/MAN/81254756013","Держатель контакта")</f>
        <v>Держатель контакта</v>
      </c>
      <c r="C2206" s="3" t="s">
        <v>8</v>
      </c>
      <c r="D2206" s="4">
        <v>2749.2</v>
      </c>
      <c r="E2206" s="4">
        <v>490</v>
      </c>
      <c r="F2206" s="8">
        <v>0.82</v>
      </c>
      <c r="H2206" s="11"/>
      <c r="I2206" s="11"/>
      <c r="J2206" s="11"/>
    </row>
    <row r="2207" spans="1:10" ht="15.75" x14ac:dyDescent="0.3">
      <c r="A2207" s="13" t="str">
        <f>HYPERLINK("https://parts-sales.ru/parts/MAN/81255036164","81.25503-6164")</f>
        <v>81.25503-6164</v>
      </c>
      <c r="B2207" s="13" t="str">
        <f>HYPERLINK("https://parts-sales.ru/parts/MAN/81255036164","Клавишный ключ I")</f>
        <v>Клавишный ключ I</v>
      </c>
      <c r="C2207" s="5" t="s">
        <v>22</v>
      </c>
      <c r="D2207" s="6">
        <v>24004.799999999999</v>
      </c>
      <c r="E2207" s="6">
        <v>5928</v>
      </c>
      <c r="F2207" s="9">
        <v>0.75</v>
      </c>
      <c r="H2207" s="11"/>
      <c r="I2207" s="11"/>
      <c r="J2207" s="11"/>
    </row>
    <row r="2208" spans="1:10" ht="15.75" x14ac:dyDescent="0.3">
      <c r="A2208" s="12" t="str">
        <f>HYPERLINK("https://parts-sales.ru/parts/MAN/81255036283","81.25503-6283")</f>
        <v>81.25503-6283</v>
      </c>
      <c r="B2208" s="12" t="str">
        <f>HYPERLINK("https://parts-sales.ru/parts/MAN/81255036283","Клавишный ключ Дополнительная фара")</f>
        <v>Клавишный ключ Дополнительная фара</v>
      </c>
      <c r="C2208" s="3" t="s">
        <v>22</v>
      </c>
      <c r="D2208" s="4">
        <v>13146</v>
      </c>
      <c r="E2208" s="4">
        <v>2869</v>
      </c>
      <c r="F2208" s="8">
        <v>0.78</v>
      </c>
      <c r="H2208" s="11"/>
      <c r="I2208" s="11"/>
      <c r="J2208" s="11"/>
    </row>
    <row r="2209" spans="1:10" ht="15.75" x14ac:dyDescent="0.3">
      <c r="A2209" s="13" t="str">
        <f>HYPERLINK("https://parts-sales.ru/parts/MAN/81255036487","81.25503-6487")</f>
        <v>81.25503-6487</v>
      </c>
      <c r="B2209" s="13" t="str">
        <f>HYPERLINK("https://parts-sales.ru/parts/MAN/81255036487","Опрокид. клавиш. выключатель Раздвижная")</f>
        <v>Опрокид. клавиш. выключатель Раздвижная</v>
      </c>
      <c r="C2209" s="5" t="s">
        <v>22</v>
      </c>
      <c r="D2209" s="6">
        <v>12500.4</v>
      </c>
      <c r="E2209" s="6">
        <v>3332</v>
      </c>
      <c r="F2209" s="9">
        <v>0.73</v>
      </c>
      <c r="H2209" s="11"/>
      <c r="I2209" s="11"/>
      <c r="J2209" s="11"/>
    </row>
    <row r="2210" spans="1:10" ht="15.75" x14ac:dyDescent="0.3">
      <c r="A2210" s="12" t="str">
        <f>HYPERLINK("https://parts-sales.ru/parts/MAN/81255036499","81.25503-6499")</f>
        <v>81.25503-6499</v>
      </c>
      <c r="B2210" s="12" t="str">
        <f>HYPERLINK("https://parts-sales.ru/parts/MAN/81255036499","Опрокид. клавиш. выключатель передняя ос")</f>
        <v>Опрокид. клавиш. выключатель передняя ос</v>
      </c>
      <c r="C2210" s="3" t="s">
        <v>22</v>
      </c>
      <c r="D2210" s="4">
        <v>14476.8</v>
      </c>
      <c r="E2210" s="4">
        <v>3039</v>
      </c>
      <c r="F2210" s="8">
        <v>0.79</v>
      </c>
      <c r="H2210" s="11"/>
      <c r="I2210" s="11"/>
      <c r="J2210" s="11"/>
    </row>
    <row r="2211" spans="1:10" ht="15.75" x14ac:dyDescent="0.3">
      <c r="A2211" s="13" t="str">
        <f>HYPERLINK("https://parts-sales.ru/parts/MAN/81255036539","81.25503-6539")</f>
        <v>81.25503-6539</v>
      </c>
      <c r="B2211" s="13" t="str">
        <f>HYPERLINK("https://parts-sales.ru/parts/MAN/81255036539","Опрокид. клавиш. выключатель Освещение")</f>
        <v>Опрокид. клавиш. выключатель Освещение</v>
      </c>
      <c r="C2211" s="5" t="s">
        <v>22</v>
      </c>
      <c r="D2211" s="6">
        <v>16249.2</v>
      </c>
      <c r="E2211" s="6">
        <v>9648</v>
      </c>
      <c r="F2211" s="9">
        <v>0.41</v>
      </c>
      <c r="H2211" s="11"/>
      <c r="I2211" s="11"/>
      <c r="J2211" s="11"/>
    </row>
    <row r="2212" spans="1:10" ht="15.75" x14ac:dyDescent="0.3">
      <c r="A2212" s="12" t="str">
        <f>HYPERLINK("https://parts-sales.ru/parts/MAN/81255036864","81.25503-6864")</f>
        <v>81.25503-6864</v>
      </c>
      <c r="B2212" s="12" t="str">
        <f>HYPERLINK("https://parts-sales.ru/parts/MAN/81255036864","Клавишный ключ Светильник локализ. освещ")</f>
        <v>Клавишный ключ Светильник локализ. освещ</v>
      </c>
      <c r="C2212" s="3" t="s">
        <v>22</v>
      </c>
      <c r="D2212" s="4">
        <v>34350</v>
      </c>
      <c r="E2212" s="4">
        <v>7990</v>
      </c>
      <c r="F2212" s="8">
        <v>0.77</v>
      </c>
      <c r="H2212" s="11"/>
      <c r="I2212" s="11"/>
      <c r="J2212" s="11"/>
    </row>
    <row r="2213" spans="1:10" ht="15.75" x14ac:dyDescent="0.3">
      <c r="A2213" s="13" t="str">
        <f>HYPERLINK("https://parts-sales.ru/parts/MAN/81255036917","81.25503-6917")</f>
        <v>81.25503-6917</v>
      </c>
      <c r="B2213" s="13" t="str">
        <f>HYPERLINK("https://parts-sales.ru/parts/MAN/81255036917","Клавишный ключ раскачать")</f>
        <v>Клавишный ключ раскачать</v>
      </c>
      <c r="C2213" s="5" t="s">
        <v>22</v>
      </c>
      <c r="D2213" s="6">
        <v>11350.8</v>
      </c>
      <c r="E2213" s="6">
        <v>3716</v>
      </c>
      <c r="F2213" s="9">
        <v>0.67</v>
      </c>
      <c r="H2213" s="11"/>
      <c r="I2213" s="11"/>
      <c r="J2213" s="11"/>
    </row>
    <row r="2214" spans="1:10" ht="15.75" x14ac:dyDescent="0.3">
      <c r="A2214" s="12" t="str">
        <f>HYPERLINK("https://parts-sales.ru/parts/MAN/81255036921","81.25503-6921")</f>
        <v>81.25503-6921</v>
      </c>
      <c r="B2214" s="12" t="str">
        <f>HYPERLINK("https://parts-sales.ru/parts/MAN/81255036921","Клавишный ключ Помощь при трогании автом")</f>
        <v>Клавишный ключ Помощь при трогании автом</v>
      </c>
      <c r="C2214" s="3" t="s">
        <v>22</v>
      </c>
      <c r="D2214" s="4">
        <v>11350.8</v>
      </c>
      <c r="E2214" s="4">
        <v>3715</v>
      </c>
      <c r="F2214" s="8">
        <v>0.67</v>
      </c>
      <c r="H2214" s="11"/>
      <c r="I2214" s="11"/>
      <c r="J2214" s="11"/>
    </row>
    <row r="2215" spans="1:10" ht="15.75" x14ac:dyDescent="0.3">
      <c r="A2215" s="13" t="str">
        <f>HYPERLINK("https://parts-sales.ru/parts/MAN/81255036932","81.25503-6932")</f>
        <v>81.25503-6932</v>
      </c>
      <c r="B2215" s="13" t="str">
        <f>HYPERLINK("https://parts-sales.ru/parts/MAN/81255036932","Клавишный ключ Внутреннее освещение")</f>
        <v>Клавишный ключ Внутреннее освещение</v>
      </c>
      <c r="C2215" s="5" t="s">
        <v>22</v>
      </c>
      <c r="D2215" s="6">
        <v>13146</v>
      </c>
      <c r="E2215" s="6">
        <v>5308</v>
      </c>
      <c r="F2215" s="9">
        <v>0.6</v>
      </c>
      <c r="H2215" s="11"/>
      <c r="I2215" s="11"/>
      <c r="J2215" s="11"/>
    </row>
    <row r="2216" spans="1:10" ht="15.75" x14ac:dyDescent="0.3">
      <c r="A2216" s="12" t="str">
        <f>HYPERLINK("https://parts-sales.ru/parts/MAN/81255036955","81.25503-6955")</f>
        <v>81.25503-6955</v>
      </c>
      <c r="B2216" s="12" t="str">
        <f>HYPERLINK("https://parts-sales.ru/parts/MAN/81255036955","Клавишный ключ блокировка дифференциала,")</f>
        <v>Клавишный ключ блокировка дифференциала,</v>
      </c>
      <c r="C2216" s="3" t="s">
        <v>22</v>
      </c>
      <c r="D2216" s="4">
        <v>11350.8</v>
      </c>
      <c r="E2216" s="4">
        <v>3715</v>
      </c>
      <c r="F2216" s="8">
        <v>0.67</v>
      </c>
      <c r="H2216" s="11"/>
      <c r="I2216" s="11"/>
      <c r="J2216" s="11"/>
    </row>
    <row r="2217" spans="1:10" ht="15.75" x14ac:dyDescent="0.3">
      <c r="A2217" s="13" t="str">
        <f>HYPERLINK("https://parts-sales.ru/parts/MAN/81255036960","81.25503-6960")</f>
        <v>81.25503-6960</v>
      </c>
      <c r="B2217" s="13" t="str">
        <f>HYPERLINK("https://parts-sales.ru/parts/MAN/81255036960","Клавишный ключ АSR отключено")</f>
        <v>Клавишный ключ АSR отключено</v>
      </c>
      <c r="C2217" s="5" t="s">
        <v>22</v>
      </c>
      <c r="D2217" s="6">
        <v>11350.8</v>
      </c>
      <c r="E2217" s="6">
        <v>3715</v>
      </c>
      <c r="F2217" s="9">
        <v>0.67</v>
      </c>
      <c r="H2217" s="11"/>
      <c r="I2217" s="11"/>
      <c r="J2217" s="11"/>
    </row>
    <row r="2218" spans="1:10" ht="15.75" x14ac:dyDescent="0.3">
      <c r="A2218" s="12" t="str">
        <f>HYPERLINK("https://parts-sales.ru/parts/MAN/81255036996","81.25503-6996")</f>
        <v>81.25503-6996</v>
      </c>
      <c r="B2218" s="12" t="str">
        <f>HYPERLINK("https://parts-sales.ru/parts/MAN/81255036996","Клавишный ключ Коробка отбора мощности")</f>
        <v>Клавишный ключ Коробка отбора мощности</v>
      </c>
      <c r="C2218" s="3" t="s">
        <v>22</v>
      </c>
      <c r="D2218" s="4">
        <v>13146</v>
      </c>
      <c r="E2218" s="4">
        <v>2736</v>
      </c>
      <c r="F2218" s="8">
        <v>0.79</v>
      </c>
      <c r="H2218" s="11"/>
      <c r="I2218" s="11"/>
      <c r="J2218" s="11"/>
    </row>
    <row r="2219" spans="1:10" ht="15.75" x14ac:dyDescent="0.3">
      <c r="A2219" s="13" t="str">
        <f>HYPERLINK("https://parts-sales.ru/parts/MAN/81255050371","81.25505-0371")</f>
        <v>81.25505-0371</v>
      </c>
      <c r="B2219" s="13" t="str">
        <f>HYPERLINK("https://parts-sales.ru/parts/MAN/81255050371","Предохранительный колпачок 18X46-NOT_AUS")</f>
        <v>Предохранительный колпачок 18X46-NOT_AUS</v>
      </c>
      <c r="C2219" s="5" t="s">
        <v>22</v>
      </c>
      <c r="D2219" s="6">
        <v>12842.4</v>
      </c>
      <c r="E2219" s="6">
        <v>2144</v>
      </c>
      <c r="F2219" s="9">
        <v>0.83</v>
      </c>
      <c r="H2219" s="11"/>
      <c r="I2219" s="11"/>
      <c r="J2219" s="11"/>
    </row>
    <row r="2220" spans="1:10" ht="15.75" x14ac:dyDescent="0.3">
      <c r="A2220" s="12" t="str">
        <f>HYPERLINK("https://parts-sales.ru/parts/MAN/81255050374","81.25505-0374")</f>
        <v>81.25505-0374</v>
      </c>
      <c r="B2220" s="12" t="str">
        <f>HYPERLINK("https://parts-sales.ru/parts/MAN/81255050374","Перекидной тумблер")</f>
        <v>Перекидной тумблер</v>
      </c>
      <c r="C2220" s="3" t="s">
        <v>22</v>
      </c>
      <c r="D2220" s="4">
        <v>14827.2</v>
      </c>
      <c r="E2220" s="4">
        <v>2322</v>
      </c>
      <c r="F2220" s="8">
        <v>0.84</v>
      </c>
      <c r="H2220" s="11"/>
      <c r="I2220" s="11"/>
      <c r="J2220" s="11"/>
    </row>
    <row r="2221" spans="1:10" ht="15.75" x14ac:dyDescent="0.3">
      <c r="A2221" s="13" t="str">
        <f>HYPERLINK("https://parts-sales.ru/parts/MAN/81255050919","81.25505-0919")</f>
        <v>81.25505-0919</v>
      </c>
      <c r="B2221" s="13" t="str">
        <f>HYPERLINK("https://parts-sales.ru/parts/MAN/81255050919","Перекидной тумблер")</f>
        <v>Перекидной тумблер</v>
      </c>
      <c r="C2221" s="5" t="s">
        <v>22</v>
      </c>
      <c r="D2221" s="6">
        <v>5844</v>
      </c>
      <c r="E2221" s="6">
        <v>2080</v>
      </c>
      <c r="F2221" s="9">
        <v>0.64</v>
      </c>
      <c r="H2221" s="11"/>
      <c r="I2221" s="11"/>
      <c r="J2221" s="11"/>
    </row>
    <row r="2222" spans="1:10" ht="15.75" x14ac:dyDescent="0.3">
      <c r="A2222" s="12" t="str">
        <f>HYPERLINK("https://parts-sales.ru/parts/MAN/81255056857","81.25505-6857")</f>
        <v>81.25505-6857</v>
      </c>
      <c r="B2222" s="12" t="str">
        <f>HYPERLINK("https://parts-sales.ru/parts/MAN/81255056857","Выключатель I")</f>
        <v>Выключатель I</v>
      </c>
      <c r="C2222" s="3" t="s">
        <v>22</v>
      </c>
      <c r="D2222" s="4">
        <v>12970.8</v>
      </c>
      <c r="E2222" s="4">
        <v>3429</v>
      </c>
      <c r="F2222" s="8">
        <v>0.74</v>
      </c>
      <c r="H2222" s="11"/>
      <c r="I2222" s="11"/>
      <c r="J2222" s="11"/>
    </row>
    <row r="2223" spans="1:10" ht="15.75" x14ac:dyDescent="0.3">
      <c r="A2223" s="13" t="str">
        <f>HYPERLINK("https://parts-sales.ru/parts/MAN/81255056861","81.25505-6861")</f>
        <v>81.25505-6861</v>
      </c>
      <c r="B2223" s="13" t="str">
        <f>HYPERLINK("https://parts-sales.ru/parts/MAN/81255056861","Выключатель Главный выключат. батареи")</f>
        <v>Выключатель Главный выключат. батареи</v>
      </c>
      <c r="C2223" s="5" t="s">
        <v>22</v>
      </c>
      <c r="D2223" s="6">
        <v>12970.8</v>
      </c>
      <c r="E2223" s="6">
        <v>3714</v>
      </c>
      <c r="F2223" s="9">
        <v>0.71</v>
      </c>
      <c r="H2223" s="11"/>
      <c r="I2223" s="11"/>
      <c r="J2223" s="11"/>
    </row>
    <row r="2224" spans="1:10" ht="15.75" x14ac:dyDescent="0.3">
      <c r="A2224" s="12" t="str">
        <f>HYPERLINK("https://parts-sales.ru/parts/MAN/81255056886","81.25505-6886")</f>
        <v>81.25505-6886</v>
      </c>
      <c r="B2224" s="12" t="str">
        <f>HYPERLINK("https://parts-sales.ru/parts/MAN/81255056886","Опрокидываемый выключатель Светильник кр")</f>
        <v>Опрокидываемый выключатель Светильник кр</v>
      </c>
      <c r="C2224" s="3" t="s">
        <v>22</v>
      </c>
      <c r="D2224" s="4">
        <v>14476.8</v>
      </c>
      <c r="E2224" s="4">
        <v>2927</v>
      </c>
      <c r="F2224" s="8">
        <v>0.8</v>
      </c>
      <c r="H2224" s="11"/>
      <c r="I2224" s="11"/>
      <c r="J2224" s="11"/>
    </row>
    <row r="2225" spans="1:10" ht="15.75" x14ac:dyDescent="0.3">
      <c r="A2225" s="13" t="str">
        <f>HYPERLINK("https://parts-sales.ru/parts/MAN/81255056897","81.25505-6897")</f>
        <v>81.25505-6897</v>
      </c>
      <c r="B2225" s="13" t="str">
        <f>HYPERLINK("https://parts-sales.ru/parts/MAN/81255056897","Опрокид. клавиш. выключатель Главный вык")</f>
        <v>Опрокид. клавиш. выключатель Главный вык</v>
      </c>
      <c r="C2225" s="5" t="s">
        <v>22</v>
      </c>
      <c r="D2225" s="6">
        <v>5874.5</v>
      </c>
      <c r="E2225" s="6">
        <v>3152</v>
      </c>
      <c r="F2225" s="9">
        <v>0.46</v>
      </c>
      <c r="H2225" s="11"/>
      <c r="I2225" s="11"/>
      <c r="J2225" s="11"/>
    </row>
    <row r="2226" spans="1:10" ht="15.75" x14ac:dyDescent="0.3">
      <c r="A2226" s="12" t="str">
        <f>HYPERLINK("https://parts-sales.ru/parts/MAN/81255056900","81.25505-6900")</f>
        <v>81.25505-6900</v>
      </c>
      <c r="B2226" s="12" t="str">
        <f>HYPERLINK("https://parts-sales.ru/parts/MAN/81255056900","Опрокидываемый выключатель Переключатель")</f>
        <v>Опрокидываемый выключатель Переключатель</v>
      </c>
      <c r="C2226" s="3" t="s">
        <v>22</v>
      </c>
      <c r="D2226" s="4">
        <v>14476.8</v>
      </c>
      <c r="E2226" s="4">
        <v>4297</v>
      </c>
      <c r="F2226" s="8">
        <v>0.7</v>
      </c>
      <c r="H2226" s="11"/>
      <c r="I2226" s="11"/>
      <c r="J2226" s="11"/>
    </row>
    <row r="2227" spans="1:10" ht="15.75" x14ac:dyDescent="0.3">
      <c r="A2227" s="13" t="str">
        <f>HYPERLINK("https://parts-sales.ru/parts/MAN/81255056904","81.25505-6904")</f>
        <v>81.25505-6904</v>
      </c>
      <c r="B2227" s="13" t="str">
        <f>HYPERLINK("https://parts-sales.ru/parts/MAN/81255056904","Опрокидываемый выключатель Освещ. для ра")</f>
        <v>Опрокидываемый выключатель Освещ. для ра</v>
      </c>
      <c r="C2227" s="5" t="s">
        <v>22</v>
      </c>
      <c r="D2227" s="6">
        <v>14476.8</v>
      </c>
      <c r="E2227" s="6">
        <v>3372</v>
      </c>
      <c r="F2227" s="9">
        <v>0.77</v>
      </c>
      <c r="H2227" s="11"/>
      <c r="I2227" s="11"/>
      <c r="J2227" s="11"/>
    </row>
    <row r="2228" spans="1:10" ht="15.75" x14ac:dyDescent="0.3">
      <c r="A2228" s="12" t="str">
        <f>HYPERLINK("https://parts-sales.ru/parts/MAN/81255086014","81.25508-6014")</f>
        <v>81.25508-6014</v>
      </c>
      <c r="B2228" s="12" t="str">
        <f>HYPERLINK("https://parts-sales.ru/parts/MAN/81255086014","Панель управления I3.1")</f>
        <v>Панель управления I3.1</v>
      </c>
      <c r="C2228" s="3" t="s">
        <v>22</v>
      </c>
      <c r="D2228" s="4">
        <v>28329.599999999999</v>
      </c>
      <c r="E2228" s="4">
        <v>6121</v>
      </c>
      <c r="F2228" s="8">
        <v>0.78</v>
      </c>
      <c r="H2228" s="11"/>
      <c r="I2228" s="11"/>
      <c r="J2228" s="11"/>
    </row>
    <row r="2229" spans="1:10" ht="15.75" x14ac:dyDescent="0.3">
      <c r="A2229" s="13" t="str">
        <f>HYPERLINK("https://parts-sales.ru/parts/MAN/81255086022","81.25508-6022")</f>
        <v>81.25508-6022</v>
      </c>
      <c r="B2229" s="13" t="str">
        <f>HYPERLINK("https://parts-sales.ru/parts/MAN/81255086022","Панель управления")</f>
        <v>Панель управления</v>
      </c>
      <c r="C2229" s="5" t="s">
        <v>22</v>
      </c>
      <c r="D2229" s="6">
        <v>26559.599999999999</v>
      </c>
      <c r="E2229" s="6">
        <v>6045</v>
      </c>
      <c r="F2229" s="9">
        <v>0.77</v>
      </c>
      <c r="H2229" s="11"/>
      <c r="I2229" s="11"/>
      <c r="J2229" s="11"/>
    </row>
    <row r="2230" spans="1:10" ht="15.75" x14ac:dyDescent="0.3">
      <c r="A2230" s="12" t="str">
        <f>HYPERLINK("https://parts-sales.ru/parts/MAN/81255090158","81.25509-0158")</f>
        <v>81.25509-0158</v>
      </c>
      <c r="B2230" s="12" t="str">
        <f>HYPERLINK("https://parts-sales.ru/parts/MAN/81255090158","Перекл. передач на рул. кол. Замедлитель")</f>
        <v>Перекл. передач на рул. кол. Замедлитель</v>
      </c>
      <c r="C2230" s="3" t="s">
        <v>22</v>
      </c>
      <c r="D2230" s="4">
        <v>69880.800000000003</v>
      </c>
      <c r="E2230" s="4">
        <v>30037</v>
      </c>
      <c r="F2230" s="8">
        <v>0.56999999999999995</v>
      </c>
      <c r="H2230" s="11"/>
      <c r="I2230" s="11"/>
      <c r="J2230" s="11"/>
    </row>
    <row r="2231" spans="1:10" ht="15.75" x14ac:dyDescent="0.3">
      <c r="A2231" s="13" t="str">
        <f>HYPERLINK("https://parts-sales.ru/parts/MAN/81255090188","81.25509-0188")</f>
        <v>81.25509-0188</v>
      </c>
      <c r="B2231" s="13" t="str">
        <f>HYPERLINK("https://parts-sales.ru/parts/MAN/81255090188","Перекл. передач на рул. кол.")</f>
        <v>Перекл. передач на рул. кол.</v>
      </c>
      <c r="C2231" s="5" t="s">
        <v>22</v>
      </c>
      <c r="D2231" s="6">
        <v>64467.6</v>
      </c>
      <c r="E2231" s="6">
        <v>29748</v>
      </c>
      <c r="F2231" s="9">
        <v>0.54</v>
      </c>
      <c r="H2231" s="11"/>
      <c r="I2231" s="11"/>
      <c r="J2231" s="11"/>
    </row>
    <row r="2232" spans="1:10" ht="15.75" x14ac:dyDescent="0.3">
      <c r="A2232" s="12" t="str">
        <f>HYPERLINK("https://parts-sales.ru/parts/MAN/81255090204","81.25509-0204")</f>
        <v>81.25509-0204</v>
      </c>
      <c r="B2232" s="12" t="str">
        <f>HYPERLINK("https://parts-sales.ru/parts/MAN/81255090204","Перекл. передач на рул. кол. Замедлитель")</f>
        <v>Перекл. передач на рул. кол. Замедлитель</v>
      </c>
      <c r="C2232" s="3" t="s">
        <v>22</v>
      </c>
      <c r="D2232" s="4">
        <v>47778</v>
      </c>
      <c r="E2232" s="4">
        <v>21404</v>
      </c>
      <c r="F2232" s="8">
        <v>0.55000000000000004</v>
      </c>
      <c r="H2232" s="11"/>
      <c r="I2232" s="11"/>
      <c r="J2232" s="11"/>
    </row>
    <row r="2233" spans="1:10" ht="15.75" x14ac:dyDescent="0.3">
      <c r="A2233" s="13" t="str">
        <f>HYPERLINK("https://parts-sales.ru/parts/MAN/81255250322","81.25525-0322")</f>
        <v>81.25525-0322</v>
      </c>
      <c r="B2233" s="13" t="str">
        <f>HYPERLINK("https://parts-sales.ru/parts/MAN/81255250322","Выключатель A2")</f>
        <v>Выключатель A2</v>
      </c>
      <c r="C2233" s="5" t="s">
        <v>22</v>
      </c>
      <c r="D2233" s="6">
        <v>11997.65</v>
      </c>
      <c r="E2233" s="6">
        <v>7200</v>
      </c>
      <c r="F2233" s="9">
        <v>0.4</v>
      </c>
      <c r="H2233" s="11"/>
      <c r="I2233" s="11"/>
      <c r="J2233" s="11"/>
    </row>
    <row r="2234" spans="1:10" ht="15.75" x14ac:dyDescent="0.3">
      <c r="A2234" s="12" t="str">
        <f>HYPERLINK("https://parts-sales.ru/parts/MAN/81255256179","81.25525-6179")</f>
        <v>81.25525-6179</v>
      </c>
      <c r="B2234" s="12" t="str">
        <f>HYPERLINK("https://parts-sales.ru/parts/MAN/81255256179","Выключатель кран")</f>
        <v>Выключатель кран</v>
      </c>
      <c r="C2234" s="3" t="s">
        <v>22</v>
      </c>
      <c r="D2234" s="4">
        <v>16255.2</v>
      </c>
      <c r="E2234" s="4">
        <v>3376</v>
      </c>
      <c r="F2234" s="8">
        <v>0.79</v>
      </c>
      <c r="H2234" s="11"/>
      <c r="I2234" s="11"/>
      <c r="J2234" s="11"/>
    </row>
    <row r="2235" spans="1:10" ht="15.75" x14ac:dyDescent="0.3">
      <c r="A2235" s="13" t="str">
        <f>HYPERLINK("https://parts-sales.ru/parts/MAN/81255256246","81.25525-6246")</f>
        <v>81.25525-6246</v>
      </c>
      <c r="B2235" s="13" t="str">
        <f>HYPERLINK("https://parts-sales.ru/parts/MAN/81255256246","Аварийный выключатель")</f>
        <v>Аварийный выключатель</v>
      </c>
      <c r="C2235" s="5" t="s">
        <v>22</v>
      </c>
      <c r="D2235" s="6">
        <v>12422.4</v>
      </c>
      <c r="E2235" s="6">
        <v>3046</v>
      </c>
      <c r="F2235" s="9">
        <v>0.75</v>
      </c>
      <c r="H2235" s="11"/>
      <c r="I2235" s="11"/>
      <c r="J2235" s="11"/>
    </row>
    <row r="2236" spans="1:10" ht="15.75" x14ac:dyDescent="0.3">
      <c r="A2236" s="12" t="str">
        <f>HYPERLINK("https://parts-sales.ru/parts/MAN/81255256262","81.25525-6262")</f>
        <v>81.25525-6262</v>
      </c>
      <c r="B2236" s="12" t="str">
        <f>HYPERLINK("https://parts-sales.ru/parts/MAN/81255256262","Перекидной тумблер Дополнительная фара")</f>
        <v>Перекидной тумблер Дополнительная фара</v>
      </c>
      <c r="C2236" s="3" t="s">
        <v>22</v>
      </c>
      <c r="D2236" s="4">
        <v>12500.4</v>
      </c>
      <c r="E2236" s="4">
        <v>3290</v>
      </c>
      <c r="F2236" s="8">
        <v>0.74</v>
      </c>
      <c r="H2236" s="11"/>
      <c r="I2236" s="11"/>
      <c r="J2236" s="11"/>
    </row>
    <row r="2237" spans="1:10" ht="15.75" x14ac:dyDescent="0.3">
      <c r="A2237" s="13" t="str">
        <f>HYPERLINK("https://parts-sales.ru/parts/MAN/81255256289","81.25525-6289")</f>
        <v>81.25525-6289</v>
      </c>
      <c r="B2237" s="13" t="str">
        <f>HYPERLINK("https://parts-sales.ru/parts/MAN/81255256289","Поворотный выключатель Световой выключат")</f>
        <v>Поворотный выключатель Световой выключат</v>
      </c>
      <c r="C2237" s="5" t="s">
        <v>22</v>
      </c>
      <c r="D2237" s="6">
        <v>14181.6</v>
      </c>
      <c r="E2237" s="6">
        <v>3520</v>
      </c>
      <c r="F2237" s="9">
        <v>0.75</v>
      </c>
      <c r="H2237" s="11"/>
      <c r="I2237" s="11"/>
      <c r="J2237" s="11"/>
    </row>
    <row r="2238" spans="1:10" ht="15.75" x14ac:dyDescent="0.3">
      <c r="A2238" s="12" t="str">
        <f>HYPERLINK("https://parts-sales.ru/parts/MAN/81255256357","81.25525-6357")</f>
        <v>81.25525-6357</v>
      </c>
      <c r="B2238" s="12" t="str">
        <f>HYPERLINK("https://parts-sales.ru/parts/MAN/81255256357","Выключатель система помощи при поворотах")</f>
        <v>Выключатель система помощи при поворотах</v>
      </c>
      <c r="C2238" s="3" t="s">
        <v>22</v>
      </c>
      <c r="D2238" s="4">
        <v>12500.4</v>
      </c>
      <c r="E2238" s="4">
        <v>2975</v>
      </c>
      <c r="F2238" s="8">
        <v>0.76</v>
      </c>
      <c r="H2238" s="11"/>
      <c r="I2238" s="11"/>
      <c r="J2238" s="11"/>
    </row>
    <row r="2239" spans="1:10" ht="15.75" x14ac:dyDescent="0.3">
      <c r="A2239" s="13" t="str">
        <f>HYPERLINK("https://parts-sales.ru/parts/MAN/81255400516","81.25540-0516")</f>
        <v>81.25540-0516</v>
      </c>
      <c r="B2239" s="13" t="str">
        <f>HYPERLINK("https://parts-sales.ru/parts/MAN/81255400516","Держатель Аварийный выключатель")</f>
        <v>Держатель Аварийный выключатель</v>
      </c>
      <c r="C2239" s="5" t="s">
        <v>22</v>
      </c>
      <c r="D2239" s="6">
        <v>2174.4</v>
      </c>
      <c r="E2239" s="6">
        <v>447</v>
      </c>
      <c r="F2239" s="9">
        <v>0.79</v>
      </c>
      <c r="H2239" s="11"/>
      <c r="I2239" s="11"/>
      <c r="J2239" s="11"/>
    </row>
    <row r="2240" spans="1:10" ht="15.75" x14ac:dyDescent="0.3">
      <c r="A2240" s="12" t="str">
        <f>HYPERLINK("https://parts-sales.ru/parts/MAN/81256010027","81.25601-0027")</f>
        <v>81.25601-0027</v>
      </c>
      <c r="B2240" s="12" t="str">
        <f>HYPERLINK("https://parts-sales.ru/parts/MAN/81256010027","Выключатель")</f>
        <v>Выключатель</v>
      </c>
      <c r="C2240" s="3" t="s">
        <v>22</v>
      </c>
      <c r="D2240" s="4">
        <v>31494</v>
      </c>
      <c r="E2240" s="4">
        <v>13363</v>
      </c>
      <c r="F2240" s="8">
        <v>0.57999999999999996</v>
      </c>
      <c r="H2240" s="11"/>
      <c r="I2240" s="11"/>
      <c r="J2240" s="11"/>
    </row>
    <row r="2241" spans="1:10" ht="15.75" x14ac:dyDescent="0.3">
      <c r="A2241" s="13" t="str">
        <f>HYPERLINK("https://parts-sales.ru/parts/MAN/81258056009","81.25805-6009")</f>
        <v>81.25805-6009</v>
      </c>
      <c r="B2241" s="13" t="str">
        <f>HYPERLINK("https://parts-sales.ru/parts/MAN/81258056009","Прибор управления Аварийный случай")</f>
        <v>Прибор управления Аварийный случай</v>
      </c>
      <c r="C2241" s="5" t="s">
        <v>23</v>
      </c>
      <c r="D2241" s="6">
        <v>173170.8</v>
      </c>
      <c r="E2241" s="6">
        <v>58497</v>
      </c>
      <c r="F2241" s="9">
        <v>0.66</v>
      </c>
      <c r="H2241" s="11"/>
      <c r="I2241" s="11"/>
      <c r="J2241" s="11"/>
    </row>
    <row r="2242" spans="1:10" ht="15.75" x14ac:dyDescent="0.3">
      <c r="A2242" s="12" t="str">
        <f>HYPERLINK("https://parts-sales.ru/parts/MAN/81258057095","81.25805-7095")</f>
        <v>81.25805-7095</v>
      </c>
      <c r="B2242" s="12" t="str">
        <f>HYPERLINK("https://parts-sales.ru/parts/MAN/81258057095","Прибор управления Компьютерное управлени")</f>
        <v>Прибор управления Компьютерное управлени</v>
      </c>
      <c r="C2242" s="3" t="s">
        <v>23</v>
      </c>
      <c r="D2242" s="4">
        <v>203618.4</v>
      </c>
      <c r="E2242" s="4">
        <v>38754</v>
      </c>
      <c r="F2242" s="8">
        <v>0.81</v>
      </c>
      <c r="H2242" s="11"/>
      <c r="I2242" s="11"/>
      <c r="J2242" s="11"/>
    </row>
    <row r="2243" spans="1:10" ht="15.75" x14ac:dyDescent="0.3">
      <c r="A2243" s="13" t="str">
        <f>HYPERLINK("https://parts-sales.ru/parts/MAN/81258057327","81.25805-7327")</f>
        <v>81.25805-7327</v>
      </c>
      <c r="B2243" s="13" t="str">
        <f>HYPERLINK("https://parts-sales.ru/parts/MAN/81258057327","Прибор управления Power Train Manager")</f>
        <v>Прибор управления Power Train Manager</v>
      </c>
      <c r="C2243" s="5" t="s">
        <v>23</v>
      </c>
      <c r="D2243" s="6">
        <v>54865.8</v>
      </c>
      <c r="E2243" s="6">
        <v>25604</v>
      </c>
      <c r="F2243" s="9">
        <v>0.53</v>
      </c>
      <c r="H2243" s="11"/>
      <c r="I2243" s="11"/>
      <c r="J2243" s="11"/>
    </row>
    <row r="2244" spans="1:10" ht="15.75" x14ac:dyDescent="0.3">
      <c r="A2244" s="12" t="str">
        <f>HYPERLINK("https://parts-sales.ru/parts/MAN/81258057347","81.25805-7347")</f>
        <v>81.25805-7347</v>
      </c>
      <c r="B2244" s="12" t="str">
        <f>HYPERLINK("https://parts-sales.ru/parts/MAN/81258057347","Прибор управления")</f>
        <v>Прибор управления</v>
      </c>
      <c r="C2244" s="3" t="s">
        <v>23</v>
      </c>
      <c r="D2244" s="4">
        <v>155094</v>
      </c>
      <c r="E2244" s="4">
        <v>36901</v>
      </c>
      <c r="F2244" s="8">
        <v>0.76</v>
      </c>
      <c r="H2244" s="11"/>
      <c r="I2244" s="11"/>
      <c r="J2244" s="11"/>
    </row>
    <row r="2245" spans="1:10" ht="15.75" x14ac:dyDescent="0.3">
      <c r="A2245" s="13" t="str">
        <f>HYPERLINK("https://parts-sales.ru/parts/MAN/81258067100","81.25806-7100")</f>
        <v>81.25806-7100</v>
      </c>
      <c r="B2245" s="13" t="str">
        <f>HYPERLINK("https://parts-sales.ru/parts/MAN/81258067100","Модуль управления дверями")</f>
        <v>Модуль управления дверями</v>
      </c>
      <c r="C2245" s="5" t="s">
        <v>23</v>
      </c>
      <c r="D2245" s="6">
        <v>39342.639999999999</v>
      </c>
      <c r="E2245" s="6">
        <v>18026</v>
      </c>
      <c r="F2245" s="9">
        <v>0.54</v>
      </c>
      <c r="H2245" s="11"/>
      <c r="I2245" s="11"/>
      <c r="J2245" s="11"/>
    </row>
    <row r="2246" spans="1:10" ht="15.75" x14ac:dyDescent="0.3">
      <c r="A2246" s="12" t="str">
        <f>HYPERLINK("https://parts-sales.ru/parts/MAN/81258067434","81.25806-7434")</f>
        <v>81.25806-7434</v>
      </c>
      <c r="B2246" s="12" t="str">
        <f>HYPERLINK("https://parts-sales.ru/parts/MAN/81258067434","Прибор управления")</f>
        <v>Прибор управления</v>
      </c>
      <c r="C2246" s="3" t="s">
        <v>23</v>
      </c>
      <c r="D2246" s="4">
        <v>98106.98</v>
      </c>
      <c r="E2246" s="4">
        <v>41050</v>
      </c>
      <c r="F2246" s="8">
        <v>0.57999999999999996</v>
      </c>
      <c r="H2246" s="11"/>
      <c r="I2246" s="11"/>
      <c r="J2246" s="11"/>
    </row>
    <row r="2247" spans="1:10" ht="15.75" x14ac:dyDescent="0.3">
      <c r="A2247" s="13" t="str">
        <f>HYPERLINK("https://parts-sales.ru/parts/MAN/81258067437","81.25806-7437")</f>
        <v>81.25806-7437</v>
      </c>
      <c r="B2247" s="13" t="str">
        <f>HYPERLINK("https://parts-sales.ru/parts/MAN/81258067437","Прибор управления Светодиодная фара")</f>
        <v>Прибор управления Светодиодная фара</v>
      </c>
      <c r="C2247" s="5" t="s">
        <v>23</v>
      </c>
      <c r="D2247" s="6">
        <v>38450.400000000001</v>
      </c>
      <c r="E2247" s="6">
        <v>9356</v>
      </c>
      <c r="F2247" s="9">
        <v>0.76</v>
      </c>
      <c r="H2247" s="11"/>
      <c r="I2247" s="11"/>
      <c r="J2247" s="11"/>
    </row>
    <row r="2248" spans="1:10" ht="15.75" x14ac:dyDescent="0.3">
      <c r="A2248" s="12" t="str">
        <f>HYPERLINK("https://parts-sales.ru/parts/MAN/81258067438","81.25806-7438")</f>
        <v>81.25806-7438</v>
      </c>
      <c r="B2248" s="12" t="str">
        <f>HYPERLINK("https://parts-sales.ru/parts/MAN/81258067438","Прибор управления Светодиодная фара")</f>
        <v>Прибор управления Светодиодная фара</v>
      </c>
      <c r="C2248" s="3" t="s">
        <v>23</v>
      </c>
      <c r="D2248" s="4">
        <v>38450.400000000001</v>
      </c>
      <c r="E2248" s="4">
        <v>9356</v>
      </c>
      <c r="F2248" s="8">
        <v>0.76</v>
      </c>
      <c r="H2248" s="11"/>
      <c r="I2248" s="11"/>
      <c r="J2248" s="11"/>
    </row>
    <row r="2249" spans="1:10" ht="15.75" x14ac:dyDescent="0.3">
      <c r="A2249" s="13" t="str">
        <f>HYPERLINK("https://parts-sales.ru/parts/MAN/81258077269","81.25807-7269")</f>
        <v>81.25807-7269</v>
      </c>
      <c r="B2249" s="13" t="str">
        <f>HYPERLINK("https://parts-sales.ru/parts/MAN/81258077269","Панель приборов I4.2.11")</f>
        <v>Панель приборов I4.2.11</v>
      </c>
      <c r="C2249" s="5" t="s">
        <v>23</v>
      </c>
      <c r="D2249" s="6">
        <v>194198.71</v>
      </c>
      <c r="E2249" s="6">
        <v>116079</v>
      </c>
      <c r="F2249" s="9">
        <v>0.4</v>
      </c>
      <c r="H2249" s="11"/>
      <c r="I2249" s="11"/>
      <c r="J2249" s="11"/>
    </row>
    <row r="2250" spans="1:10" ht="15.75" x14ac:dyDescent="0.3">
      <c r="A2250" s="12" t="str">
        <f>HYPERLINK("https://parts-sales.ru/parts/MAN/81258097198","81.25809-7198")</f>
        <v>81.25809-7198</v>
      </c>
      <c r="B2250" s="12" t="str">
        <f>HYPERLINK("https://parts-sales.ru/parts/MAN/81258097198","Прибор управления ASTRONIC SW3.13 OD D20")</f>
        <v>Прибор управления ASTRONIC SW3.13 OD D20</v>
      </c>
      <c r="C2250" s="3" t="s">
        <v>23</v>
      </c>
      <c r="D2250" s="4">
        <v>303617.36</v>
      </c>
      <c r="E2250" s="4">
        <v>128600</v>
      </c>
      <c r="F2250" s="8">
        <v>0.57999999999999996</v>
      </c>
      <c r="H2250" s="11"/>
      <c r="I2250" s="11"/>
      <c r="J2250" s="11"/>
    </row>
    <row r="2251" spans="1:10" ht="15.75" x14ac:dyDescent="0.3">
      <c r="A2251" s="13" t="str">
        <f>HYPERLINK("https://parts-sales.ru/parts/MAN/81258137006","81.25813-7006")</f>
        <v>81.25813-7006</v>
      </c>
      <c r="B2251" s="13" t="str">
        <f>HYPERLINK("https://parts-sales.ru/parts/MAN/81258137006","Прибор управления MTS-PX111")</f>
        <v>Прибор управления MTS-PX111</v>
      </c>
      <c r="C2251" s="5" t="s">
        <v>23</v>
      </c>
      <c r="D2251" s="6">
        <v>106106.4</v>
      </c>
      <c r="E2251" s="6">
        <v>32325</v>
      </c>
      <c r="F2251" s="9">
        <v>0.7</v>
      </c>
      <c r="H2251" s="11"/>
      <c r="I2251" s="11"/>
      <c r="J2251" s="11"/>
    </row>
    <row r="2252" spans="1:10" ht="15.75" x14ac:dyDescent="0.3">
      <c r="A2252" s="12" t="str">
        <f>HYPERLINK("https://parts-sales.ru/parts/MAN/81258146015","81.25814-6015")</f>
        <v>81.25814-6015</v>
      </c>
      <c r="B2252" s="12" t="str">
        <f>HYPERLINK("https://parts-sales.ru/parts/MAN/81258146015","Прибор управления")</f>
        <v>Прибор управления</v>
      </c>
      <c r="C2252" s="3" t="s">
        <v>23</v>
      </c>
      <c r="D2252" s="4">
        <v>119888.4</v>
      </c>
      <c r="E2252" s="4">
        <v>26975</v>
      </c>
      <c r="F2252" s="8">
        <v>0.77</v>
      </c>
      <c r="H2252" s="11"/>
      <c r="I2252" s="11"/>
      <c r="J2252" s="11"/>
    </row>
    <row r="2253" spans="1:10" ht="15.75" x14ac:dyDescent="0.3">
      <c r="A2253" s="13" t="str">
        <f>HYPERLINK("https://parts-sales.ru/parts/MAN/81259010019","81.25901-0019")</f>
        <v>81.25901-0019</v>
      </c>
      <c r="B2253" s="13" t="str">
        <f>HYPERLINK("https://parts-sales.ru/parts/MAN/81259010019","Лампа накаливания H1-HD-24V-70W-P14,5S")</f>
        <v>Лампа накаливания H1-HD-24V-70W-P14,5S</v>
      </c>
      <c r="C2253" s="5" t="s">
        <v>9</v>
      </c>
      <c r="D2253" s="6">
        <v>1429.2</v>
      </c>
      <c r="E2253" s="6">
        <v>203</v>
      </c>
      <c r="F2253" s="9">
        <v>0.86</v>
      </c>
      <c r="H2253" s="11"/>
      <c r="I2253" s="11"/>
      <c r="J2253" s="11"/>
    </row>
    <row r="2254" spans="1:10" ht="15.75" x14ac:dyDescent="0.3">
      <c r="A2254" s="12" t="str">
        <f>HYPERLINK("https://parts-sales.ru/parts/MAN/81259010027","81.25901-0027")</f>
        <v>81.25901-0027</v>
      </c>
      <c r="B2254" s="12" t="str">
        <f>HYPERLINK("https://parts-sales.ru/parts/MAN/81259010027","Лампа накаливания H3-HD-24V-70W-PK22S")</f>
        <v>Лампа накаливания H3-HD-24V-70W-PK22S</v>
      </c>
      <c r="C2254" s="3" t="s">
        <v>9</v>
      </c>
      <c r="D2254" s="4">
        <v>1622.4</v>
      </c>
      <c r="E2254" s="4">
        <v>402</v>
      </c>
      <c r="F2254" s="8">
        <v>0.75</v>
      </c>
      <c r="H2254" s="11"/>
      <c r="I2254" s="11"/>
      <c r="J2254" s="11"/>
    </row>
    <row r="2255" spans="1:10" ht="15.75" x14ac:dyDescent="0.3">
      <c r="A2255" s="13" t="str">
        <f>HYPERLINK("https://parts-sales.ru/parts/MAN/81259010058","81.25901-0058")</f>
        <v>81.25901-0058</v>
      </c>
      <c r="B2255" s="13" t="str">
        <f>HYPERLINK("https://parts-sales.ru/parts/MAN/81259010058","Лампа накаливания W3W-24V3W-W2,1X9,5D")</f>
        <v>Лампа накаливания W3W-24V3W-W2,1X9,5D</v>
      </c>
      <c r="C2255" s="5" t="s">
        <v>9</v>
      </c>
      <c r="D2255" s="6">
        <v>442.8</v>
      </c>
      <c r="E2255" s="6">
        <v>18</v>
      </c>
      <c r="F2255" s="9">
        <v>0.96</v>
      </c>
      <c r="H2255" s="11"/>
      <c r="I2255" s="11"/>
      <c r="J2255" s="11"/>
    </row>
    <row r="2256" spans="1:10" ht="15.75" x14ac:dyDescent="0.3">
      <c r="A2256" s="12" t="str">
        <f>HYPERLINK("https://parts-sales.ru/parts/MAN/81259010064","81.25901-0064")</f>
        <v>81.25901-0064</v>
      </c>
      <c r="B2256" s="12" t="str">
        <f>HYPERLINK("https://parts-sales.ru/parts/MAN/81259010064","Лампа накаливания WB-T5-24V-1W-W2X4,6D")</f>
        <v>Лампа накаливания WB-T5-24V-1W-W2X4,6D</v>
      </c>
      <c r="C2256" s="3" t="s">
        <v>9</v>
      </c>
      <c r="D2256" s="4">
        <v>1221.5999999999999</v>
      </c>
      <c r="E2256" s="4">
        <v>172</v>
      </c>
      <c r="F2256" s="8">
        <v>0.86</v>
      </c>
      <c r="H2256" s="11"/>
      <c r="I2256" s="11"/>
      <c r="J2256" s="11"/>
    </row>
    <row r="2257" spans="1:10" ht="15.75" x14ac:dyDescent="0.3">
      <c r="A2257" s="13" t="str">
        <f>HYPERLINK("https://parts-sales.ru/parts/MAN/81259010074","81.25901-0074")</f>
        <v>81.25901-0074</v>
      </c>
      <c r="B2257" s="13" t="str">
        <f>HYPERLINK("https://parts-sales.ru/parts/MAN/81259010074","Лампа накаливания R10W-HD-24V-10W-BA15S")</f>
        <v>Лампа накаливания R10W-HD-24V-10W-BA15S</v>
      </c>
      <c r="C2257" s="5" t="s">
        <v>9</v>
      </c>
      <c r="D2257" s="6">
        <v>348</v>
      </c>
      <c r="E2257" s="6">
        <v>70</v>
      </c>
      <c r="F2257" s="9">
        <v>0.8</v>
      </c>
      <c r="H2257" s="11"/>
      <c r="I2257" s="11"/>
      <c r="J2257" s="11"/>
    </row>
    <row r="2258" spans="1:10" ht="15.75" x14ac:dyDescent="0.3">
      <c r="A2258" s="12" t="str">
        <f>HYPERLINK("https://parts-sales.ru/parts/MAN/81259010084","81.25901-0084")</f>
        <v>81.25901-0084</v>
      </c>
      <c r="B2258" s="12" t="str">
        <f>HYPERLINK("https://parts-sales.ru/parts/MAN/81259010084","Лампа накаливания H4-HD-24V-75/70W-P43T-")</f>
        <v>Лампа накаливания H4-HD-24V-75/70W-P43T-</v>
      </c>
      <c r="C2258" s="3" t="s">
        <v>9</v>
      </c>
      <c r="D2258" s="4">
        <v>2059.1999999999998</v>
      </c>
      <c r="E2258" s="4">
        <v>860</v>
      </c>
      <c r="F2258" s="8">
        <v>0.57999999999999996</v>
      </c>
      <c r="H2258" s="11"/>
      <c r="I2258" s="11"/>
      <c r="J2258" s="11"/>
    </row>
    <row r="2259" spans="1:10" ht="15.75" x14ac:dyDescent="0.3">
      <c r="A2259" s="13" t="str">
        <f>HYPERLINK("https://parts-sales.ru/parts/MAN/81259010086","81.25901-0086")</f>
        <v>81.25901-0086</v>
      </c>
      <c r="B2259" s="13" t="str">
        <f>HYPERLINK("https://parts-sales.ru/parts/MAN/81259010086","Лампа накаливания 24V-1,2W-BAX10D")</f>
        <v>Лампа накаливания 24V-1,2W-BAX10D</v>
      </c>
      <c r="C2259" s="5" t="s">
        <v>9</v>
      </c>
      <c r="D2259" s="6">
        <v>416.4</v>
      </c>
      <c r="E2259" s="6">
        <v>86</v>
      </c>
      <c r="F2259" s="9">
        <v>0.79</v>
      </c>
      <c r="H2259" s="11"/>
      <c r="I2259" s="11"/>
      <c r="J2259" s="11"/>
    </row>
    <row r="2260" spans="1:10" ht="15.75" x14ac:dyDescent="0.3">
      <c r="A2260" s="12" t="str">
        <f>HYPERLINK("https://parts-sales.ru/parts/MAN/81259010101","81.25901-0101")</f>
        <v>81.25901-0101</v>
      </c>
      <c r="B2260" s="12" t="str">
        <f>HYPERLINK("https://parts-sales.ru/parts/MAN/81259010101","Лампа накаливания P21/4W-24V-BAZ15D")</f>
        <v>Лампа накаливания P21/4W-24V-BAZ15D</v>
      </c>
      <c r="C2260" s="3" t="s">
        <v>9</v>
      </c>
      <c r="D2260" s="4">
        <v>858</v>
      </c>
      <c r="E2260" s="4">
        <v>220</v>
      </c>
      <c r="F2260" s="8">
        <v>0.74</v>
      </c>
      <c r="H2260" s="11"/>
      <c r="I2260" s="11"/>
      <c r="J2260" s="11"/>
    </row>
    <row r="2261" spans="1:10" ht="15.75" x14ac:dyDescent="0.3">
      <c r="A2261" s="13" t="str">
        <f>HYPERLINK("https://parts-sales.ru/parts/MAN/81259010102","81.25901-0102")</f>
        <v>81.25901-0102</v>
      </c>
      <c r="B2261" s="13" t="str">
        <f>HYPERLINK("https://parts-sales.ru/parts/MAN/81259010102","Лампа накаливания PY21W-HDLL-24V-21W-BAU")</f>
        <v>Лампа накаливания PY21W-HDLL-24V-21W-BAU</v>
      </c>
      <c r="C2261" s="5" t="s">
        <v>9</v>
      </c>
      <c r="D2261" s="6">
        <v>805.79</v>
      </c>
      <c r="E2261" s="6">
        <v>535</v>
      </c>
      <c r="F2261" s="9">
        <v>0.34</v>
      </c>
      <c r="H2261" s="11"/>
      <c r="I2261" s="11"/>
      <c r="J2261" s="11"/>
    </row>
    <row r="2262" spans="1:10" ht="15.75" x14ac:dyDescent="0.3">
      <c r="A2262" s="12" t="str">
        <f>HYPERLINK("https://parts-sales.ru/parts/MAN/81259010107","81.25901-0107")</f>
        <v>81.25901-0107</v>
      </c>
      <c r="B2262" s="12" t="str">
        <f>HYPERLINK("https://parts-sales.ru/parts/MAN/81259010107","Лампа накаливания 30V-1,2W")</f>
        <v>Лампа накаливания 30V-1,2W</v>
      </c>
      <c r="C2262" s="3" t="s">
        <v>9</v>
      </c>
      <c r="D2262" s="4">
        <v>962.4</v>
      </c>
      <c r="E2262" s="4">
        <v>237</v>
      </c>
      <c r="F2262" s="8">
        <v>0.75</v>
      </c>
      <c r="H2262" s="11"/>
      <c r="I2262" s="11"/>
      <c r="J2262" s="11"/>
    </row>
    <row r="2263" spans="1:10" ht="15.75" x14ac:dyDescent="0.3">
      <c r="A2263" s="13" t="str">
        <f>HYPERLINK("https://parts-sales.ru/parts/MAN/81259010113","81.25901-0113")</f>
        <v>81.25901-0113</v>
      </c>
      <c r="B2263" s="13" t="str">
        <f>HYPERLINK("https://parts-sales.ru/parts/MAN/81259010113","Лампа накаливания T10,5X31-12V-10W-SV8,5")</f>
        <v>Лампа накаливания T10,5X31-12V-10W-SV8,5</v>
      </c>
      <c r="C2263" s="5" t="s">
        <v>9</v>
      </c>
      <c r="D2263" s="6">
        <v>565.20000000000005</v>
      </c>
      <c r="E2263" s="6">
        <v>170</v>
      </c>
      <c r="F2263" s="9">
        <v>0.7</v>
      </c>
      <c r="H2263" s="11"/>
      <c r="I2263" s="11"/>
      <c r="J2263" s="11"/>
    </row>
    <row r="2264" spans="1:10" ht="15.75" x14ac:dyDescent="0.3">
      <c r="A2264" s="12" t="str">
        <f>HYPERLINK("https://parts-sales.ru/parts/MAN/81259017040","81.25901-7040")</f>
        <v>81.25901-7040</v>
      </c>
      <c r="B2264" s="12" t="str">
        <f>HYPERLINK("https://parts-sales.ru/parts/MAN/81259017040","Лампа накаливания C5W-24V-5W-SV8,5")</f>
        <v>Лампа накаливания C5W-24V-5W-SV8,5</v>
      </c>
      <c r="C2264" s="3" t="s">
        <v>9</v>
      </c>
      <c r="D2264" s="4">
        <v>572.4</v>
      </c>
      <c r="E2264" s="4">
        <v>74</v>
      </c>
      <c r="F2264" s="8">
        <v>0.87</v>
      </c>
      <c r="H2264" s="11"/>
      <c r="I2264" s="11"/>
      <c r="J2264" s="11"/>
    </row>
    <row r="2265" spans="1:10" ht="15.75" x14ac:dyDescent="0.3">
      <c r="A2265" s="13" t="str">
        <f>HYPERLINK("https://parts-sales.ru/parts/MAN/81259020058","81.25902-0058")</f>
        <v>81.25902-0058</v>
      </c>
      <c r="B2265" s="13" t="str">
        <f>HYPERLINK("https://parts-sales.ru/parts/MAN/81259020058","Реле 24 V")</f>
        <v>Реле 24 V</v>
      </c>
      <c r="C2265" s="5" t="s">
        <v>9</v>
      </c>
      <c r="D2265" s="6">
        <v>2012.4</v>
      </c>
      <c r="E2265" s="6">
        <v>511</v>
      </c>
      <c r="F2265" s="9">
        <v>0.75</v>
      </c>
      <c r="H2265" s="11"/>
      <c r="I2265" s="11"/>
      <c r="J2265" s="11"/>
    </row>
    <row r="2266" spans="1:10" ht="15.75" x14ac:dyDescent="0.3">
      <c r="A2266" s="12" t="str">
        <f>HYPERLINK("https://parts-sales.ru/parts/MAN/81259020543","81.25902-0543")</f>
        <v>81.25902-0543</v>
      </c>
      <c r="B2266" s="12" t="str">
        <f>HYPERLINK("https://parts-sales.ru/parts/MAN/81259020543","Реле устройство с замык. контактами")</f>
        <v>Реле устройство с замык. контактами</v>
      </c>
      <c r="C2266" s="3" t="s">
        <v>9</v>
      </c>
      <c r="D2266" s="4">
        <v>2948.4</v>
      </c>
      <c r="E2266" s="4">
        <v>961</v>
      </c>
      <c r="F2266" s="8">
        <v>0.67</v>
      </c>
      <c r="H2266" s="11"/>
      <c r="I2266" s="11"/>
      <c r="J2266" s="11"/>
    </row>
    <row r="2267" spans="1:10" ht="15.75" x14ac:dyDescent="0.3">
      <c r="A2267" s="13" t="str">
        <f>HYPERLINK("https://parts-sales.ru/parts/MAN/81259026205","81.25902-6205")</f>
        <v>81.25902-6205</v>
      </c>
      <c r="B2267" s="13" t="str">
        <f>HYPERLINK("https://parts-sales.ru/parts/MAN/81259026205","Уплотнение")</f>
        <v>Уплотнение</v>
      </c>
      <c r="C2267" s="5" t="s">
        <v>9</v>
      </c>
      <c r="D2267" s="6">
        <v>1298.4000000000001</v>
      </c>
      <c r="E2267" s="6">
        <v>47</v>
      </c>
      <c r="F2267" s="9">
        <v>0.96</v>
      </c>
      <c r="H2267" s="11"/>
      <c r="I2267" s="11"/>
      <c r="J2267" s="11"/>
    </row>
    <row r="2268" spans="1:10" ht="15.75" x14ac:dyDescent="0.3">
      <c r="A2268" s="12" t="str">
        <f>HYPERLINK("https://parts-sales.ru/parts/MAN/81259026233","81.25902-6233")</f>
        <v>81.25902-6233</v>
      </c>
      <c r="B2268" s="12" t="str">
        <f>HYPERLINK("https://parts-sales.ru/parts/MAN/81259026233","Реле Реле переменных контактов")</f>
        <v>Реле Реле переменных контактов</v>
      </c>
      <c r="C2268" s="3" t="s">
        <v>9</v>
      </c>
      <c r="D2268" s="4">
        <v>3492</v>
      </c>
      <c r="E2268" s="4">
        <v>635</v>
      </c>
      <c r="F2268" s="8">
        <v>0.82</v>
      </c>
      <c r="H2268" s="11"/>
      <c r="I2268" s="11"/>
      <c r="J2268" s="11"/>
    </row>
    <row r="2269" spans="1:10" ht="15.75" x14ac:dyDescent="0.3">
      <c r="A2269" s="13" t="str">
        <f>HYPERLINK("https://parts-sales.ru/parts/MAN/81259070145","81.25907-0145")</f>
        <v>81.25907-0145</v>
      </c>
      <c r="B2269" s="13" t="str">
        <f>HYPERLINK("https://parts-sales.ru/parts/MAN/81259070145","Сопротивление 120.OHM-0,5W")</f>
        <v>Сопротивление 120.OHM-0,5W</v>
      </c>
      <c r="C2269" s="5" t="s">
        <v>9</v>
      </c>
      <c r="D2269" s="6">
        <v>765.6</v>
      </c>
      <c r="E2269" s="6">
        <v>165</v>
      </c>
      <c r="F2269" s="9">
        <v>0.78</v>
      </c>
      <c r="H2269" s="11"/>
      <c r="I2269" s="11"/>
      <c r="J2269" s="11"/>
    </row>
    <row r="2270" spans="1:10" ht="15.75" x14ac:dyDescent="0.3">
      <c r="A2270" s="12" t="str">
        <f>HYPERLINK("https://parts-sales.ru/parts/MAN/81259070305","81.25907-0305")</f>
        <v>81.25907-0305</v>
      </c>
      <c r="B2270" s="12" t="str">
        <f>HYPERLINK("https://parts-sales.ru/parts/MAN/81259070305","Потенциометр")</f>
        <v>Потенциометр</v>
      </c>
      <c r="C2270" s="3" t="s">
        <v>9</v>
      </c>
      <c r="D2270" s="4">
        <v>19388.400000000001</v>
      </c>
      <c r="E2270" s="4">
        <v>3151</v>
      </c>
      <c r="F2270" s="8">
        <v>0.84</v>
      </c>
      <c r="H2270" s="11"/>
      <c r="I2270" s="11"/>
      <c r="J2270" s="11"/>
    </row>
    <row r="2271" spans="1:10" ht="15.75" x14ac:dyDescent="0.3">
      <c r="A2271" s="13" t="str">
        <f>HYPERLINK("https://parts-sales.ru/parts/MAN/81259070353","81.25907-0353")</f>
        <v>81.25907-0353</v>
      </c>
      <c r="B2271" s="13" t="str">
        <f>HYPERLINK("https://parts-sales.ru/parts/MAN/81259070353","Сопротивление 820 OHM 2W")</f>
        <v>Сопротивление 820 OHM 2W</v>
      </c>
      <c r="C2271" s="5" t="s">
        <v>9</v>
      </c>
      <c r="D2271" s="6">
        <v>294</v>
      </c>
      <c r="E2271" s="6">
        <v>65</v>
      </c>
      <c r="F2271" s="9">
        <v>0.78</v>
      </c>
      <c r="H2271" s="11"/>
      <c r="I2271" s="11"/>
      <c r="J2271" s="11"/>
    </row>
    <row r="2272" spans="1:10" ht="15.75" x14ac:dyDescent="0.3">
      <c r="A2272" s="12" t="str">
        <f>HYPERLINK("https://parts-sales.ru/parts/MAN/81259270099","81.25927-0099")</f>
        <v>81.25927-0099</v>
      </c>
      <c r="B2272" s="12" t="str">
        <f>HYPERLINK("https://parts-sales.ru/parts/MAN/81259270099","Группа диодов В 2-х экземплярах")</f>
        <v>Группа диодов В 2-х экземплярах</v>
      </c>
      <c r="C2272" s="3" t="s">
        <v>9</v>
      </c>
      <c r="D2272" s="4">
        <v>5233.2</v>
      </c>
      <c r="E2272" s="4">
        <v>1599</v>
      </c>
      <c r="F2272" s="8">
        <v>0.69</v>
      </c>
      <c r="H2272" s="11"/>
      <c r="I2272" s="11"/>
      <c r="J2272" s="11"/>
    </row>
    <row r="2273" spans="1:10" ht="15.75" x14ac:dyDescent="0.3">
      <c r="A2273" s="13" t="str">
        <f>HYPERLINK("https://parts-sales.ru/parts/MAN/81259270114","81.25927-0114")</f>
        <v>81.25927-0114</v>
      </c>
      <c r="B2273" s="13" t="str">
        <f>HYPERLINK("https://parts-sales.ru/parts/MAN/81259270114","Группа диодов В 4-х экземплярах")</f>
        <v>Группа диодов В 4-х экземплярах</v>
      </c>
      <c r="C2273" s="5" t="s">
        <v>9</v>
      </c>
      <c r="D2273" s="6">
        <v>4519.2</v>
      </c>
      <c r="E2273" s="6">
        <v>943</v>
      </c>
      <c r="F2273" s="9">
        <v>0.79</v>
      </c>
      <c r="H2273" s="11"/>
      <c r="I2273" s="11"/>
      <c r="J2273" s="11"/>
    </row>
    <row r="2274" spans="1:10" ht="15.75" x14ac:dyDescent="0.3">
      <c r="A2274" s="12" t="str">
        <f>HYPERLINK("https://parts-sales.ru/parts/MAN/81259270115","81.25927-0115")</f>
        <v>81.25927-0115</v>
      </c>
      <c r="B2274" s="12" t="str">
        <f>HYPERLINK("https://parts-sales.ru/parts/MAN/81259270115","Группа диодов 8")</f>
        <v>Группа диодов 8</v>
      </c>
      <c r="C2274" s="3" t="s">
        <v>9</v>
      </c>
      <c r="D2274" s="4">
        <v>5994</v>
      </c>
      <c r="E2274" s="4">
        <v>1592</v>
      </c>
      <c r="F2274" s="8">
        <v>0.73</v>
      </c>
      <c r="H2274" s="11"/>
      <c r="I2274" s="11"/>
      <c r="J2274" s="11"/>
    </row>
    <row r="2275" spans="1:10" ht="15.75" x14ac:dyDescent="0.3">
      <c r="A2275" s="13" t="str">
        <f>HYPERLINK("https://parts-sales.ru/parts/MAN/81259270117","81.25927-0117")</f>
        <v>81.25927-0117</v>
      </c>
      <c r="B2275" s="13" t="str">
        <f>HYPERLINK("https://parts-sales.ru/parts/MAN/81259270117","Группа диодов В 4-х экземплярах")</f>
        <v>Группа диодов В 4-х экземплярах</v>
      </c>
      <c r="C2275" s="5" t="s">
        <v>9</v>
      </c>
      <c r="D2275" s="6">
        <v>5233.2</v>
      </c>
      <c r="E2275" s="6">
        <v>1150</v>
      </c>
      <c r="F2275" s="9">
        <v>0.78</v>
      </c>
      <c r="H2275" s="11"/>
      <c r="I2275" s="11"/>
      <c r="J2275" s="11"/>
    </row>
    <row r="2276" spans="1:10" ht="15.75" x14ac:dyDescent="0.3">
      <c r="A2276" s="12" t="str">
        <f>HYPERLINK("https://parts-sales.ru/parts/MAN/81259376069","81.25937-6069")</f>
        <v>81.25937-6069</v>
      </c>
      <c r="B2276" s="12" t="str">
        <f>HYPERLINK("https://parts-sales.ru/parts/MAN/81259376069","Определитель износа CODE A /L=1550")</f>
        <v>Определитель износа CODE A /L=1550</v>
      </c>
      <c r="C2276" s="3" t="s">
        <v>24</v>
      </c>
      <c r="D2276" s="4">
        <v>45589.2</v>
      </c>
      <c r="E2276" s="4">
        <v>13809</v>
      </c>
      <c r="F2276" s="8">
        <v>0.7</v>
      </c>
      <c r="H2276" s="11"/>
      <c r="I2276" s="11"/>
      <c r="J2276" s="11"/>
    </row>
    <row r="2277" spans="1:10" ht="15.75" x14ac:dyDescent="0.3">
      <c r="A2277" s="13" t="str">
        <f>HYPERLINK("https://parts-sales.ru/parts/MAN/81259370045","81.25937-0045")</f>
        <v>81.25937-0045</v>
      </c>
      <c r="B2277" s="13" t="str">
        <f>HYPERLINK("https://parts-sales.ru/parts/MAN/81259370045","Сенсор")</f>
        <v>Сенсор</v>
      </c>
      <c r="C2277" s="5" t="s">
        <v>24</v>
      </c>
      <c r="D2277" s="6">
        <v>58429.2</v>
      </c>
      <c r="E2277" s="6">
        <v>13632</v>
      </c>
      <c r="F2277" s="9">
        <v>0.77</v>
      </c>
      <c r="H2277" s="11"/>
      <c r="I2277" s="11"/>
      <c r="J2277" s="11"/>
    </row>
    <row r="2278" spans="1:10" ht="15.75" x14ac:dyDescent="0.3">
      <c r="A2278" s="12" t="str">
        <f>HYPERLINK("https://parts-sales.ru/parts/MAN/81259370094","81.25937-0094")</f>
        <v>81.25937-0094</v>
      </c>
      <c r="B2278" s="12" t="str">
        <f>HYPERLINK("https://parts-sales.ru/parts/MAN/81259370094","Сенсор датчик частоты вращения")</f>
        <v>Сенсор датчик частоты вращения</v>
      </c>
      <c r="C2278" s="3" t="s">
        <v>24</v>
      </c>
      <c r="D2278" s="4">
        <v>23681.27</v>
      </c>
      <c r="E2278" s="4">
        <v>15810</v>
      </c>
      <c r="F2278" s="8">
        <v>0.33</v>
      </c>
      <c r="H2278" s="11"/>
      <c r="I2278" s="11"/>
      <c r="J2278" s="11"/>
    </row>
    <row r="2279" spans="1:10" ht="15.75" x14ac:dyDescent="0.3">
      <c r="A2279" s="13" t="str">
        <f>HYPERLINK("https://parts-sales.ru/parts/MAN/81264006358","81.26400-6358")</f>
        <v>81.26400-6358</v>
      </c>
      <c r="B2279" s="13" t="str">
        <f>HYPERLINK("https://parts-sales.ru/parts/MAN/81264006358","Комплект деталей")</f>
        <v>Комплект деталей</v>
      </c>
      <c r="C2279" s="5" t="s">
        <v>25</v>
      </c>
      <c r="D2279" s="6">
        <v>2055.6</v>
      </c>
      <c r="E2279" s="6">
        <v>606</v>
      </c>
      <c r="F2279" s="9">
        <v>0.71</v>
      </c>
      <c r="H2279" s="11"/>
      <c r="I2279" s="11"/>
      <c r="J2279" s="11"/>
    </row>
    <row r="2280" spans="1:10" ht="15.75" x14ac:dyDescent="0.3">
      <c r="A2280" s="12" t="str">
        <f>HYPERLINK("https://parts-sales.ru/parts/MAN/81264016119","81.26401-6119")</f>
        <v>81.26401-6119</v>
      </c>
      <c r="B2280" s="12" t="str">
        <f>HYPERLINK("https://parts-sales.ru/parts/MAN/81264016119","Мотор стеклоочистителя Конструкция фирмы")</f>
        <v>Мотор стеклоочистителя Конструкция фирмы</v>
      </c>
      <c r="C2280" s="3" t="s">
        <v>25</v>
      </c>
      <c r="D2280" s="4">
        <v>41662.800000000003</v>
      </c>
      <c r="E2280" s="4">
        <v>7696</v>
      </c>
      <c r="F2280" s="8">
        <v>0.82</v>
      </c>
      <c r="H2280" s="11"/>
      <c r="I2280" s="11"/>
      <c r="J2280" s="11"/>
    </row>
    <row r="2281" spans="1:10" ht="15.75" x14ac:dyDescent="0.3">
      <c r="A2281" s="13" t="str">
        <f>HYPERLINK("https://parts-sales.ru/parts/MAN/81264020008","81.26402-0008")</f>
        <v>81.26402-0008</v>
      </c>
      <c r="B2281" s="13" t="str">
        <f>HYPERLINK("https://parts-sales.ru/parts/MAN/81264020008","Заглушка")</f>
        <v>Заглушка</v>
      </c>
      <c r="C2281" s="5" t="s">
        <v>25</v>
      </c>
      <c r="D2281" s="6">
        <v>69.599999999999994</v>
      </c>
      <c r="E2281" s="6">
        <v>3</v>
      </c>
      <c r="F2281" s="9">
        <v>0.96</v>
      </c>
      <c r="H2281" s="11"/>
      <c r="I2281" s="11"/>
      <c r="J2281" s="11"/>
    </row>
    <row r="2282" spans="1:10" ht="15.75" x14ac:dyDescent="0.3">
      <c r="A2282" s="12" t="str">
        <f>HYPERLINK("https://parts-sales.ru/parts/MAN/81264120022","81.26412-0022")</f>
        <v>81.26412-0022</v>
      </c>
      <c r="B2282" s="12" t="str">
        <f>HYPERLINK("https://parts-sales.ru/parts/MAN/81264120022","Кожух Емкость для воды")</f>
        <v>Кожух Емкость для воды</v>
      </c>
      <c r="C2282" s="3" t="s">
        <v>25</v>
      </c>
      <c r="D2282" s="4">
        <v>1476</v>
      </c>
      <c r="E2282" s="4">
        <v>105</v>
      </c>
      <c r="F2282" s="8">
        <v>0.93</v>
      </c>
      <c r="H2282" s="11"/>
      <c r="I2282" s="11"/>
      <c r="J2282" s="11"/>
    </row>
    <row r="2283" spans="1:10" ht="15.75" x14ac:dyDescent="0.3">
      <c r="A2283" s="13" t="str">
        <f>HYPERLINK("https://parts-sales.ru/parts/MAN/81264400033","81.26440-0033")</f>
        <v>81.26440-0033</v>
      </c>
      <c r="B2283" s="13" t="str">
        <f>HYPERLINK("https://parts-sales.ru/parts/MAN/81264400033","Щетка стеклоочистителя 800")</f>
        <v>Щетка стеклоочистителя 800</v>
      </c>
      <c r="C2283" s="5" t="s">
        <v>25</v>
      </c>
      <c r="D2283" s="6">
        <v>6716.4</v>
      </c>
      <c r="E2283" s="6">
        <v>1268</v>
      </c>
      <c r="F2283" s="9">
        <v>0.81</v>
      </c>
      <c r="H2283" s="11"/>
      <c r="I2283" s="11"/>
      <c r="J2283" s="11"/>
    </row>
    <row r="2284" spans="1:10" ht="15.75" x14ac:dyDescent="0.3">
      <c r="A2284" s="12" t="str">
        <f>HYPERLINK("https://parts-sales.ru/parts/MAN/81264400060","81.26440-0060")</f>
        <v>81.26440-0060</v>
      </c>
      <c r="B2284" s="12" t="str">
        <f>HYPERLINK("https://parts-sales.ru/parts/MAN/81264400060","Щетка стеклоочистителя 900 mm")</f>
        <v>Щетка стеклоочистителя 900 mm</v>
      </c>
      <c r="C2284" s="3" t="s">
        <v>25</v>
      </c>
      <c r="D2284" s="4">
        <v>8856</v>
      </c>
      <c r="E2284" s="4">
        <v>1851</v>
      </c>
      <c r="F2284" s="8">
        <v>0.79</v>
      </c>
      <c r="H2284" s="11"/>
      <c r="I2284" s="11"/>
      <c r="J2284" s="11"/>
    </row>
    <row r="2285" spans="1:10" ht="15.75" x14ac:dyDescent="0.3">
      <c r="A2285" s="13" t="str">
        <f>HYPERLINK("https://parts-sales.ru/parts/MAN/81264406033","81.26440-6033")</f>
        <v>81.26440-6033</v>
      </c>
      <c r="B2285" s="13" t="str">
        <f>HYPERLINK("https://parts-sales.ru/parts/MAN/81264406033","Щетка стеклоочистителя")</f>
        <v>Щетка стеклоочистителя</v>
      </c>
      <c r="C2285" s="5" t="s">
        <v>25</v>
      </c>
      <c r="D2285" s="6">
        <v>2935.2</v>
      </c>
      <c r="E2285" s="6">
        <v>806</v>
      </c>
      <c r="F2285" s="9">
        <v>0.73</v>
      </c>
      <c r="H2285" s="11"/>
      <c r="I2285" s="11"/>
      <c r="J2285" s="11"/>
    </row>
    <row r="2286" spans="1:10" ht="15.75" x14ac:dyDescent="0.3">
      <c r="A2286" s="12" t="str">
        <f>HYPERLINK("https://parts-sales.ru/parts/MAN/81264500035","81.26450-0035")</f>
        <v>81.26450-0035</v>
      </c>
      <c r="B2286" s="12" t="str">
        <f>HYPERLINK("https://parts-sales.ru/parts/MAN/81264500035","Зажим S")</f>
        <v>Зажим S</v>
      </c>
      <c r="C2286" s="3" t="s">
        <v>25</v>
      </c>
      <c r="D2286" s="4">
        <v>1363.2</v>
      </c>
      <c r="E2286" s="4">
        <v>559</v>
      </c>
      <c r="F2286" s="8">
        <v>0.59</v>
      </c>
      <c r="H2286" s="11"/>
      <c r="I2286" s="11"/>
      <c r="J2286" s="11"/>
    </row>
    <row r="2287" spans="1:10" ht="15.75" x14ac:dyDescent="0.3">
      <c r="A2287" s="13" t="str">
        <f>HYPERLINK("https://parts-sales.ru/parts/MAN/81264505038","81.26450-5038")</f>
        <v>81.26450-5038</v>
      </c>
      <c r="B2287" s="13" t="str">
        <f>HYPERLINK("https://parts-sales.ru/parts/MAN/81264505038","Держатель Стеклооч.-моеч. установка")</f>
        <v>Держатель Стеклооч.-моеч. установка</v>
      </c>
      <c r="C2287" s="5" t="s">
        <v>25</v>
      </c>
      <c r="D2287" s="6">
        <v>45157.2</v>
      </c>
      <c r="E2287" s="6">
        <v>9403</v>
      </c>
      <c r="F2287" s="9">
        <v>0.79</v>
      </c>
      <c r="H2287" s="11"/>
      <c r="I2287" s="11"/>
      <c r="J2287" s="11"/>
    </row>
    <row r="2288" spans="1:10" ht="15.75" x14ac:dyDescent="0.3">
      <c r="A2288" s="12" t="str">
        <f>HYPERLINK("https://parts-sales.ru/parts/MAN/81264810026","81.26481-0026")</f>
        <v>81.26481-0026</v>
      </c>
      <c r="B2288" s="12" t="str">
        <f>HYPERLINK("https://parts-sales.ru/parts/MAN/81264810026","Замок")</f>
        <v>Замок</v>
      </c>
      <c r="C2288" s="3" t="s">
        <v>25</v>
      </c>
      <c r="D2288" s="4">
        <v>1525.2</v>
      </c>
      <c r="E2288" s="4">
        <v>532</v>
      </c>
      <c r="F2288" s="8">
        <v>0.65</v>
      </c>
      <c r="H2288" s="11"/>
      <c r="I2288" s="11"/>
      <c r="J2288" s="11"/>
    </row>
    <row r="2289" spans="1:10" ht="15.75" x14ac:dyDescent="0.3">
      <c r="A2289" s="13" t="str">
        <f>HYPERLINK("https://parts-sales.ru/parts/MAN/81264810069","81.26481-0069")</f>
        <v>81.26481-0069</v>
      </c>
      <c r="B2289" s="13" t="str">
        <f>HYPERLINK("https://parts-sales.ru/parts/MAN/81264810069","Наконечник закрытый")</f>
        <v>Наконечник закрытый</v>
      </c>
      <c r="C2289" s="5" t="s">
        <v>25</v>
      </c>
      <c r="D2289" s="6">
        <v>616.79999999999995</v>
      </c>
      <c r="E2289" s="6">
        <v>80</v>
      </c>
      <c r="F2289" s="9">
        <v>0.87</v>
      </c>
      <c r="H2289" s="11"/>
      <c r="I2289" s="11"/>
      <c r="J2289" s="11"/>
    </row>
    <row r="2290" spans="1:10" ht="15.75" x14ac:dyDescent="0.3">
      <c r="A2290" s="12" t="str">
        <f>HYPERLINK("https://parts-sales.ru/parts/MAN/81264810078","81.26481-0078")</f>
        <v>81.26481-0078</v>
      </c>
      <c r="B2290" s="12" t="str">
        <f>HYPERLINK("https://parts-sales.ru/parts/MAN/81264810078","Заправочная труба Автом. с левост. распо")</f>
        <v>Заправочная труба Автом. с левост. распо</v>
      </c>
      <c r="C2290" s="3" t="s">
        <v>25</v>
      </c>
      <c r="D2290" s="4">
        <v>9819.89</v>
      </c>
      <c r="E2290" s="4">
        <v>6515</v>
      </c>
      <c r="F2290" s="8">
        <v>0.34</v>
      </c>
      <c r="H2290" s="11"/>
      <c r="I2290" s="11"/>
      <c r="J2290" s="11"/>
    </row>
    <row r="2291" spans="1:10" ht="15.75" x14ac:dyDescent="0.3">
      <c r="A2291" s="13" t="str">
        <f>HYPERLINK("https://parts-sales.ru/parts/MAN/81264810080","81.26481-0080")</f>
        <v>81.26481-0080</v>
      </c>
      <c r="B2291" s="13" t="str">
        <f>HYPERLINK("https://parts-sales.ru/parts/MAN/81264810080","Навинчивающийся колпачок Емкость для вод")</f>
        <v>Навинчивающийся колпачок Емкость для вод</v>
      </c>
      <c r="C2291" s="5" t="s">
        <v>25</v>
      </c>
      <c r="D2291" s="6">
        <v>1112.4000000000001</v>
      </c>
      <c r="E2291" s="6">
        <v>433</v>
      </c>
      <c r="F2291" s="9">
        <v>0.61</v>
      </c>
      <c r="H2291" s="11"/>
      <c r="I2291" s="11"/>
      <c r="J2291" s="11"/>
    </row>
    <row r="2292" spans="1:10" ht="15.75" x14ac:dyDescent="0.3">
      <c r="A2292" s="12" t="str">
        <f>HYPERLINK("https://parts-sales.ru/parts/MAN/81264810085","81.26481-0085")</f>
        <v>81.26481-0085</v>
      </c>
      <c r="B2292" s="12" t="str">
        <f>HYPERLINK("https://parts-sales.ru/parts/MAN/81264810085","Емкость для воды")</f>
        <v>Емкость для воды</v>
      </c>
      <c r="C2292" s="3" t="s">
        <v>25</v>
      </c>
      <c r="D2292" s="4">
        <v>11174.64</v>
      </c>
      <c r="E2292" s="4">
        <v>5191</v>
      </c>
      <c r="F2292" s="8">
        <v>0.54</v>
      </c>
      <c r="H2292" s="11"/>
      <c r="I2292" s="11"/>
      <c r="J2292" s="11"/>
    </row>
    <row r="2293" spans="1:10" ht="15.75" x14ac:dyDescent="0.3">
      <c r="A2293" s="13" t="str">
        <f>HYPERLINK("https://parts-sales.ru/parts/MAN/81264810087","81.26481-0087")</f>
        <v>81.26481-0087</v>
      </c>
      <c r="B2293" s="13" t="str">
        <f>HYPERLINK("https://parts-sales.ru/parts/MAN/81264810087","Зажим")</f>
        <v>Зажим</v>
      </c>
      <c r="C2293" s="5" t="s">
        <v>25</v>
      </c>
      <c r="D2293" s="6">
        <v>14559.6</v>
      </c>
      <c r="E2293" s="6">
        <v>875</v>
      </c>
      <c r="F2293" s="9">
        <v>0.94</v>
      </c>
      <c r="H2293" s="11"/>
      <c r="I2293" s="11"/>
      <c r="J2293" s="11"/>
    </row>
    <row r="2294" spans="1:10" ht="15.75" x14ac:dyDescent="0.3">
      <c r="A2294" s="12" t="str">
        <f>HYPERLINK("https://parts-sales.ru/parts/MAN/81264810108","81.26481-0108")</f>
        <v>81.26481-0108</v>
      </c>
      <c r="B2294" s="12" t="str">
        <f>HYPERLINK("https://parts-sales.ru/parts/MAN/81264810108","Заправочная труба")</f>
        <v>Заправочная труба</v>
      </c>
      <c r="C2294" s="3" t="s">
        <v>25</v>
      </c>
      <c r="D2294" s="4">
        <v>1406.4</v>
      </c>
      <c r="E2294" s="4">
        <v>72</v>
      </c>
      <c r="F2294" s="8">
        <v>0.95</v>
      </c>
      <c r="H2294" s="11"/>
      <c r="I2294" s="11"/>
      <c r="J2294" s="11"/>
    </row>
    <row r="2295" spans="1:10" ht="15.75" x14ac:dyDescent="0.3">
      <c r="A2295" s="13" t="str">
        <f>HYPERLINK("https://parts-sales.ru/parts/MAN/81264810109","81.26481-0109")</f>
        <v>81.26481-0109</v>
      </c>
      <c r="B2295" s="13" t="str">
        <f>HYPERLINK("https://parts-sales.ru/parts/MAN/81264810109","Заливной штуцер")</f>
        <v>Заливной штуцер</v>
      </c>
      <c r="C2295" s="5" t="s">
        <v>25</v>
      </c>
      <c r="D2295" s="6">
        <v>589.20000000000005</v>
      </c>
      <c r="E2295" s="6">
        <v>46</v>
      </c>
      <c r="F2295" s="9">
        <v>0.92</v>
      </c>
      <c r="H2295" s="11"/>
      <c r="I2295" s="11"/>
      <c r="J2295" s="11"/>
    </row>
    <row r="2296" spans="1:10" ht="15.75" x14ac:dyDescent="0.3">
      <c r="A2296" s="12" t="str">
        <f>HYPERLINK("https://parts-sales.ru/parts/MAN/81264816057","81.26481-6057")</f>
        <v>81.26481-6057</v>
      </c>
      <c r="B2296" s="12" t="str">
        <f>HYPERLINK("https://parts-sales.ru/parts/MAN/81264816057","Заправочная труба")</f>
        <v>Заправочная труба</v>
      </c>
      <c r="C2296" s="3" t="s">
        <v>25</v>
      </c>
      <c r="D2296" s="4">
        <v>1111.2</v>
      </c>
      <c r="E2296" s="4">
        <v>83</v>
      </c>
      <c r="F2296" s="8">
        <v>0.93</v>
      </c>
      <c r="H2296" s="11"/>
      <c r="I2296" s="11"/>
      <c r="J2296" s="11"/>
    </row>
    <row r="2297" spans="1:10" ht="15.75" x14ac:dyDescent="0.3">
      <c r="A2297" s="13" t="str">
        <f>HYPERLINK("https://parts-sales.ru/parts/MAN/81264816059","81.26481-6059")</f>
        <v>81.26481-6059</v>
      </c>
      <c r="B2297" s="13" t="str">
        <f>HYPERLINK("https://parts-sales.ru/parts/MAN/81264816059","Заправочная труба Кожух")</f>
        <v>Заправочная труба Кожух</v>
      </c>
      <c r="C2297" s="5" t="s">
        <v>25</v>
      </c>
      <c r="D2297" s="6">
        <v>1392</v>
      </c>
      <c r="E2297" s="6">
        <v>120</v>
      </c>
      <c r="F2297" s="9">
        <v>0.91</v>
      </c>
      <c r="H2297" s="11"/>
      <c r="I2297" s="11"/>
      <c r="J2297" s="11"/>
    </row>
    <row r="2298" spans="1:10" ht="15.75" x14ac:dyDescent="0.3">
      <c r="A2298" s="12" t="str">
        <f>HYPERLINK("https://parts-sales.ru/parts/MAN/81264820046","81.26482-0046")</f>
        <v>81.26482-0046</v>
      </c>
      <c r="B2298" s="12" t="str">
        <f>HYPERLINK("https://parts-sales.ru/parts/MAN/81264820046","Держатель форсунки")</f>
        <v>Держатель форсунки</v>
      </c>
      <c r="C2298" s="3" t="s">
        <v>25</v>
      </c>
      <c r="D2298" s="4">
        <v>3735.6</v>
      </c>
      <c r="E2298" s="4">
        <v>802</v>
      </c>
      <c r="F2298" s="8">
        <v>0.79</v>
      </c>
      <c r="H2298" s="11"/>
      <c r="I2298" s="11"/>
      <c r="J2298" s="11"/>
    </row>
    <row r="2299" spans="1:10" ht="15.75" x14ac:dyDescent="0.3">
      <c r="A2299" s="13" t="str">
        <f>HYPERLINK("https://parts-sales.ru/parts/MAN/81264830018","81.26483-0018")</f>
        <v>81.26483-0018</v>
      </c>
      <c r="B2299" s="13" t="str">
        <f>HYPERLINK("https://parts-sales.ru/parts/MAN/81264830018","Штепсельное соединение")</f>
        <v>Штепсельное соединение</v>
      </c>
      <c r="C2299" s="5" t="s">
        <v>25</v>
      </c>
      <c r="D2299" s="6">
        <v>990</v>
      </c>
      <c r="E2299" s="6">
        <v>277</v>
      </c>
      <c r="F2299" s="9">
        <v>0.72</v>
      </c>
      <c r="H2299" s="11"/>
      <c r="I2299" s="11"/>
      <c r="J2299" s="11"/>
    </row>
    <row r="2300" spans="1:10" ht="15.75" x14ac:dyDescent="0.3">
      <c r="A2300" s="12" t="str">
        <f>HYPERLINK("https://parts-sales.ru/parts/MAN/81264830031","81.26483-0031")</f>
        <v>81.26483-0031</v>
      </c>
      <c r="B2300" s="12" t="str">
        <f>HYPERLINK("https://parts-sales.ru/parts/MAN/81264830031","Соединительная деталь Очистит. установка")</f>
        <v>Соединительная деталь Очистит. установка</v>
      </c>
      <c r="C2300" s="3" t="s">
        <v>25</v>
      </c>
      <c r="D2300" s="4">
        <v>1340.28</v>
      </c>
      <c r="E2300" s="4">
        <v>560</v>
      </c>
      <c r="F2300" s="8">
        <v>0.57999999999999996</v>
      </c>
      <c r="H2300" s="11"/>
      <c r="I2300" s="11"/>
      <c r="J2300" s="11"/>
    </row>
    <row r="2301" spans="1:10" ht="15.75" x14ac:dyDescent="0.3">
      <c r="A2301" s="13" t="str">
        <f>HYPERLINK("https://parts-sales.ru/parts/MAN/81264836000","81.26483-6000")</f>
        <v>81.26483-6000</v>
      </c>
      <c r="B2301" s="13" t="str">
        <f>HYPERLINK("https://parts-sales.ru/parts/MAN/81264836000","Угловой штуцер")</f>
        <v>Угловой штуцер</v>
      </c>
      <c r="C2301" s="5" t="s">
        <v>25</v>
      </c>
      <c r="D2301" s="6">
        <v>2095.1999999999998</v>
      </c>
      <c r="E2301" s="6">
        <v>447</v>
      </c>
      <c r="F2301" s="9">
        <v>0.79</v>
      </c>
      <c r="H2301" s="11"/>
      <c r="I2301" s="11"/>
      <c r="J2301" s="11"/>
    </row>
    <row r="2302" spans="1:10" ht="15.75" x14ac:dyDescent="0.3">
      <c r="A2302" s="12" t="str">
        <f>HYPERLINK("https://parts-sales.ru/parts/MAN/81264840003","81.26484-0003")</f>
        <v>81.26484-0003</v>
      </c>
      <c r="B2302" s="12" t="str">
        <f>HYPERLINK("https://parts-sales.ru/parts/MAN/81264840003","Клапан")</f>
        <v>Клапан</v>
      </c>
      <c r="C2302" s="3" t="s">
        <v>25</v>
      </c>
      <c r="D2302" s="4">
        <v>1111.2</v>
      </c>
      <c r="E2302" s="4">
        <v>278</v>
      </c>
      <c r="F2302" s="8">
        <v>0.75</v>
      </c>
      <c r="H2302" s="11"/>
      <c r="I2302" s="11"/>
      <c r="J2302" s="11"/>
    </row>
    <row r="2303" spans="1:10" ht="15.75" x14ac:dyDescent="0.3">
      <c r="A2303" s="13" t="str">
        <f>HYPERLINK("https://parts-sales.ru/parts/MAN/81264856029","81.26485-6029")</f>
        <v>81.26485-6029</v>
      </c>
      <c r="B2303" s="13" t="str">
        <f>HYPERLINK("https://parts-sales.ru/parts/MAN/81264856029","Насос стеклоомывателя")</f>
        <v>Насос стеклоомывателя</v>
      </c>
      <c r="C2303" s="5" t="s">
        <v>25</v>
      </c>
      <c r="D2303" s="6">
        <v>19411.2</v>
      </c>
      <c r="E2303" s="6">
        <v>4059</v>
      </c>
      <c r="F2303" s="9">
        <v>0.79</v>
      </c>
      <c r="H2303" s="11"/>
      <c r="I2303" s="11"/>
      <c r="J2303" s="11"/>
    </row>
    <row r="2304" spans="1:10" ht="15.75" x14ac:dyDescent="0.3">
      <c r="A2304" s="12" t="str">
        <f>HYPERLINK("https://parts-sales.ru/parts/MAN/81264856033","81.26485-6033")</f>
        <v>81.26485-6033</v>
      </c>
      <c r="B2304" s="12" t="str">
        <f>HYPERLINK("https://parts-sales.ru/parts/MAN/81264856033","Насос стеклоомывателя")</f>
        <v>Насос стеклоомывателя</v>
      </c>
      <c r="C2304" s="3" t="s">
        <v>25</v>
      </c>
      <c r="D2304" s="4">
        <v>14227.2</v>
      </c>
      <c r="E2304" s="4">
        <v>5846</v>
      </c>
      <c r="F2304" s="8">
        <v>0.59</v>
      </c>
      <c r="H2304" s="11"/>
      <c r="I2304" s="11"/>
      <c r="J2304" s="11"/>
    </row>
    <row r="2305" spans="1:10" ht="15.75" x14ac:dyDescent="0.3">
      <c r="A2305" s="13" t="str">
        <f>HYPERLINK("https://parts-sales.ru/parts/MAN/81264866030","81.26486-6030")</f>
        <v>81.26486-6030</v>
      </c>
      <c r="B2305" s="13" t="str">
        <f>HYPERLINK("https://parts-sales.ru/parts/MAN/81264866030","Шлангопровод Стеклооч.-моеч. установка")</f>
        <v>Шлангопровод Стеклооч.-моеч. установка</v>
      </c>
      <c r="C2305" s="5" t="s">
        <v>25</v>
      </c>
      <c r="D2305" s="6">
        <v>9537.6</v>
      </c>
      <c r="E2305" s="6">
        <v>97</v>
      </c>
      <c r="F2305" s="9">
        <v>0.99</v>
      </c>
      <c r="H2305" s="11"/>
      <c r="I2305" s="11"/>
      <c r="J2305" s="11"/>
    </row>
    <row r="2306" spans="1:10" ht="15.75" x14ac:dyDescent="0.3">
      <c r="A2306" s="12" t="str">
        <f>HYPERLINK("https://parts-sales.ru/parts/MAN/81264885012","81.26488-5012")</f>
        <v>81.26488-5012</v>
      </c>
      <c r="B2306" s="12" t="str">
        <f>HYPERLINK("https://parts-sales.ru/parts/MAN/81264885012","Натяжная скоба")</f>
        <v>Натяжная скоба</v>
      </c>
      <c r="C2306" s="3" t="s">
        <v>25</v>
      </c>
      <c r="D2306" s="4">
        <v>4377.6000000000004</v>
      </c>
      <c r="E2306" s="4">
        <v>357</v>
      </c>
      <c r="F2306" s="8">
        <v>0.92</v>
      </c>
      <c r="H2306" s="11"/>
      <c r="I2306" s="11"/>
      <c r="J2306" s="11"/>
    </row>
    <row r="2307" spans="1:10" ht="15.75" x14ac:dyDescent="0.3">
      <c r="A2307" s="13" t="str">
        <f>HYPERLINK("https://parts-sales.ru/parts/MAN/81264885015","81.26488-5015")</f>
        <v>81.26488-5015</v>
      </c>
      <c r="B2307" s="13" t="str">
        <f>HYPERLINK("https://parts-sales.ru/parts/MAN/81264885015","Натяжная скоба")</f>
        <v>Натяжная скоба</v>
      </c>
      <c r="C2307" s="5" t="s">
        <v>25</v>
      </c>
      <c r="D2307" s="6">
        <v>3577.2</v>
      </c>
      <c r="E2307" s="6">
        <v>299</v>
      </c>
      <c r="F2307" s="9">
        <v>0.92</v>
      </c>
      <c r="H2307" s="11"/>
      <c r="I2307" s="11"/>
      <c r="J2307" s="11"/>
    </row>
    <row r="2308" spans="1:10" ht="15.75" x14ac:dyDescent="0.3">
      <c r="A2308" s="12" t="str">
        <f>HYPERLINK("https://parts-sales.ru/parts/MAN/82258097009","82.25809-7009")</f>
        <v>82.25809-7009</v>
      </c>
      <c r="B2308" s="12" t="str">
        <f>HYPERLINK("https://parts-sales.ru/parts/MAN/82258097009","Прибор управления WSK 440+RETARDER V8 D2")</f>
        <v>Прибор управления WSK 440+RETARDER V8 D2</v>
      </c>
      <c r="C2308" s="3" t="s">
        <v>23</v>
      </c>
      <c r="D2308" s="4">
        <v>294829.2</v>
      </c>
      <c r="E2308" s="4">
        <v>128310</v>
      </c>
      <c r="F2308" s="8">
        <v>0.56000000000000005</v>
      </c>
      <c r="H2308" s="11"/>
      <c r="I2308" s="11"/>
      <c r="J2308" s="11"/>
    </row>
    <row r="2309" spans="1:10" ht="15.75" x14ac:dyDescent="0.3">
      <c r="A2309" s="13" t="str">
        <f>HYPERLINK("https://parts-sales.ru/parts/MAN/85254410081","85.25441-0081")</f>
        <v>85.25441-0081</v>
      </c>
      <c r="B2309" s="13" t="str">
        <f>HYPERLINK("https://parts-sales.ru/parts/MAN/85254410081","Крепежный угол")</f>
        <v>Крепежный угол</v>
      </c>
      <c r="C2309" s="5" t="s">
        <v>12</v>
      </c>
      <c r="D2309" s="6">
        <v>2062.8000000000002</v>
      </c>
      <c r="E2309" s="6">
        <v>161</v>
      </c>
      <c r="F2309" s="9">
        <v>0.92</v>
      </c>
      <c r="H2309" s="11"/>
      <c r="I2309" s="11"/>
      <c r="J2309" s="11"/>
    </row>
    <row r="2310" spans="1:10" ht="15.75" x14ac:dyDescent="0.3">
      <c r="A2310" s="12" t="str">
        <f>HYPERLINK("https://parts-sales.ru/parts/MAN/88254320054","88.25432-0054")</f>
        <v>88.25432-0054</v>
      </c>
      <c r="B2310" s="12" t="str">
        <f>HYPERLINK("https://parts-sales.ru/parts/MAN/88254320054","Блокировка 4/40")</f>
        <v>Блокировка 4/40</v>
      </c>
      <c r="C2310" s="3" t="s">
        <v>12</v>
      </c>
      <c r="D2310" s="4">
        <v>1389.6</v>
      </c>
      <c r="E2310" s="4">
        <v>391</v>
      </c>
      <c r="F2310" s="8">
        <v>0.72</v>
      </c>
      <c r="H2310" s="11"/>
      <c r="I2310" s="11"/>
      <c r="J2310" s="11"/>
    </row>
    <row r="2311" spans="1:10" ht="15.75" x14ac:dyDescent="0.3">
      <c r="A2311" s="13" t="str">
        <f>HYPERLINK("https://parts-sales.ru/parts/MAN/81271016581","81.27101-6581")</f>
        <v>81.27101-6581</v>
      </c>
      <c r="B2311" s="13" t="str">
        <f>HYPERLINK("https://parts-sales.ru/parts/MAN/81271016581","Тахограф (СИМУЛЯТОР) TSU")</f>
        <v>Тахограф (СИМУЛЯТОР) TSU</v>
      </c>
      <c r="C2311" s="5" t="s">
        <v>26</v>
      </c>
      <c r="D2311" s="6">
        <v>70515.789999999994</v>
      </c>
      <c r="E2311" s="6">
        <v>41540</v>
      </c>
      <c r="F2311" s="9">
        <v>0.41</v>
      </c>
      <c r="H2311" s="11"/>
      <c r="I2311" s="11"/>
      <c r="J2311" s="11"/>
    </row>
    <row r="2312" spans="1:10" ht="15.75" x14ac:dyDescent="0.3">
      <c r="A2312" s="12" t="str">
        <f>HYPERLINK("https://parts-sales.ru/parts/MAN/81271016627","81.27101-6627")</f>
        <v>81.27101-6627</v>
      </c>
      <c r="B2312" s="12" t="str">
        <f>HYPERLINK("https://parts-sales.ru/parts/MAN/81271016627","Тахограф REV7.6")</f>
        <v>Тахограф REV7.6</v>
      </c>
      <c r="C2312" s="3" t="s">
        <v>26</v>
      </c>
      <c r="D2312" s="4">
        <v>258806.39999999999</v>
      </c>
      <c r="E2312" s="4">
        <v>53882</v>
      </c>
      <c r="F2312" s="8">
        <v>0.79</v>
      </c>
      <c r="H2312" s="11"/>
      <c r="I2312" s="11"/>
      <c r="J2312" s="11"/>
    </row>
    <row r="2313" spans="1:10" ht="15.75" x14ac:dyDescent="0.3">
      <c r="A2313" s="13" t="str">
        <f>HYPERLINK("https://parts-sales.ru/parts/MAN/81271019580","81.27101-9580")</f>
        <v>81.27101-9580</v>
      </c>
      <c r="B2313" s="13" t="str">
        <f>HYPERLINK("https://parts-sales.ru/parts/MAN/81271019580","Тахограф REV7.3")</f>
        <v>Тахограф REV7.3</v>
      </c>
      <c r="C2313" s="5" t="s">
        <v>26</v>
      </c>
      <c r="D2313" s="6">
        <v>59114.400000000001</v>
      </c>
      <c r="E2313" s="6">
        <v>16416</v>
      </c>
      <c r="F2313" s="9">
        <v>0.72</v>
      </c>
      <c r="H2313" s="11"/>
      <c r="I2313" s="11"/>
      <c r="J2313" s="11"/>
    </row>
    <row r="2314" spans="1:10" ht="15.75" x14ac:dyDescent="0.3">
      <c r="A2314" s="12" t="str">
        <f>HYPERLINK("https://parts-sales.ru/parts/MAN/81271206188","81.27120-6188")</f>
        <v>81.27120-6188</v>
      </c>
      <c r="B2314" s="12" t="str">
        <f>HYPERLINK("https://parts-sales.ru/parts/MAN/81271206188","Датчик частоты вращения 2595")</f>
        <v>Датчик частоты вращения 2595</v>
      </c>
      <c r="C2314" s="3" t="s">
        <v>24</v>
      </c>
      <c r="D2314" s="4">
        <v>31695.599999999999</v>
      </c>
      <c r="E2314" s="4">
        <v>11281</v>
      </c>
      <c r="F2314" s="8">
        <v>0.64</v>
      </c>
      <c r="H2314" s="11"/>
      <c r="I2314" s="11"/>
      <c r="J2314" s="11"/>
    </row>
    <row r="2315" spans="1:10" ht="15.75" x14ac:dyDescent="0.3">
      <c r="A2315" s="13" t="str">
        <f>HYPERLINK("https://parts-sales.ru/parts/MAN/81271206222","81.27120-6222")</f>
        <v>81.27120-6222</v>
      </c>
      <c r="B2315" s="13" t="str">
        <f>HYPERLINK("https://parts-sales.ru/parts/MAN/81271206222","Датчик частоты вращения 2000")</f>
        <v>Датчик частоты вращения 2000</v>
      </c>
      <c r="C2315" s="5" t="s">
        <v>24</v>
      </c>
      <c r="D2315" s="6">
        <v>36298.800000000003</v>
      </c>
      <c r="E2315" s="6">
        <v>11107</v>
      </c>
      <c r="F2315" s="9">
        <v>0.69</v>
      </c>
      <c r="H2315" s="11"/>
      <c r="I2315" s="11"/>
      <c r="J2315" s="11"/>
    </row>
    <row r="2316" spans="1:10" ht="15.75" x14ac:dyDescent="0.3">
      <c r="A2316" s="12" t="str">
        <f>HYPERLINK("https://parts-sales.ru/parts/MAN/81271206288","81.27120-6288")</f>
        <v>81.27120-6288</v>
      </c>
      <c r="B2316" s="12" t="str">
        <f>HYPERLINK("https://parts-sales.ru/parts/MAN/81271206288","Датчик частоты вращения 3900 MM")</f>
        <v>Датчик частоты вращения 3900 MM</v>
      </c>
      <c r="C2316" s="3" t="s">
        <v>24</v>
      </c>
      <c r="D2316" s="4">
        <v>30063.89</v>
      </c>
      <c r="E2316" s="4">
        <v>12557</v>
      </c>
      <c r="F2316" s="8">
        <v>0.57999999999999996</v>
      </c>
      <c r="H2316" s="11"/>
      <c r="I2316" s="11"/>
      <c r="J2316" s="11"/>
    </row>
    <row r="2317" spans="1:10" ht="15.75" x14ac:dyDescent="0.3">
      <c r="A2317" s="13" t="str">
        <f>HYPERLINK("https://parts-sales.ru/parts/MAN/81271206296","81.27120-6296")</f>
        <v>81.27120-6296</v>
      </c>
      <c r="B2317" s="13" t="str">
        <f>HYPERLINK("https://parts-sales.ru/parts/MAN/81271206296","Датчик частоты вращения 2150 MM")</f>
        <v>Датчик частоты вращения 2150 MM</v>
      </c>
      <c r="C2317" s="5" t="s">
        <v>24</v>
      </c>
      <c r="D2317" s="6">
        <v>11685.6</v>
      </c>
      <c r="E2317" s="6">
        <v>2387</v>
      </c>
      <c r="F2317" s="9">
        <v>0.8</v>
      </c>
      <c r="H2317" s="11"/>
      <c r="I2317" s="11"/>
      <c r="J2317" s="11"/>
    </row>
    <row r="2318" spans="1:10" ht="15.75" x14ac:dyDescent="0.3">
      <c r="A2318" s="12" t="str">
        <f>HYPERLINK("https://parts-sales.ru/parts/MAN/81271206297","81.27120-6297")</f>
        <v>81.27120-6297</v>
      </c>
      <c r="B2318" s="12" t="str">
        <f>HYPERLINK("https://parts-sales.ru/parts/MAN/81271206297","Датчик частоты вращения 2150 MM")</f>
        <v>Датчик частоты вращения 2150 MM</v>
      </c>
      <c r="C2318" s="3" t="s">
        <v>24</v>
      </c>
      <c r="D2318" s="4">
        <v>11685.6</v>
      </c>
      <c r="E2318" s="4">
        <v>2611</v>
      </c>
      <c r="F2318" s="8">
        <v>0.78</v>
      </c>
      <c r="H2318" s="11"/>
      <c r="I2318" s="11"/>
      <c r="J2318" s="11"/>
    </row>
    <row r="2319" spans="1:10" ht="15.75" x14ac:dyDescent="0.3">
      <c r="A2319" s="13" t="str">
        <f>HYPERLINK("https://parts-sales.ru/parts/MAN/81271210107","81.27121-0107")</f>
        <v>81.27121-0107</v>
      </c>
      <c r="B2319" s="13" t="str">
        <f>HYPERLINK("https://parts-sales.ru/parts/MAN/81271210107","Импульсный датчик KITAS 4.0 20MM")</f>
        <v>Импульсный датчик KITAS 4.0 20MM</v>
      </c>
      <c r="C2319" s="5" t="s">
        <v>24</v>
      </c>
      <c r="D2319" s="6">
        <v>20822.400000000001</v>
      </c>
      <c r="E2319" s="6">
        <v>11729</v>
      </c>
      <c r="F2319" s="9">
        <v>0.44</v>
      </c>
      <c r="H2319" s="11"/>
      <c r="I2319" s="11"/>
      <c r="J2319" s="11"/>
    </row>
    <row r="2320" spans="1:10" ht="15.75" x14ac:dyDescent="0.3">
      <c r="A2320" s="12" t="str">
        <f>HYPERLINK("https://parts-sales.ru/parts/MAN/81272026146","81.27202-6146")</f>
        <v>81.27202-6146</v>
      </c>
      <c r="B2320" s="12" t="str">
        <f>HYPERLINK("https://parts-sales.ru/parts/MAN/81272026146","Индикаторный прибор")</f>
        <v>Индикаторный прибор</v>
      </c>
      <c r="C2320" s="3" t="s">
        <v>24</v>
      </c>
      <c r="D2320" s="4">
        <v>23788.799999999999</v>
      </c>
      <c r="E2320" s="4">
        <v>8809</v>
      </c>
      <c r="F2320" s="8">
        <v>0.63</v>
      </c>
      <c r="H2320" s="11"/>
      <c r="I2320" s="11"/>
      <c r="J2320" s="11"/>
    </row>
    <row r="2321" spans="1:10" ht="15.75" x14ac:dyDescent="0.3">
      <c r="A2321" s="13" t="str">
        <f>HYPERLINK("https://parts-sales.ru/parts/MAN/81272026207","81.27202-6207")</f>
        <v>81.27202-6207</v>
      </c>
      <c r="B2321" s="13" t="str">
        <f>HYPERLINK("https://parts-sales.ru/parts/MAN/81272026207","Панель приборов KM/H")</f>
        <v>Панель приборов KM/H</v>
      </c>
      <c r="C2321" s="5" t="s">
        <v>24</v>
      </c>
      <c r="D2321" s="6">
        <v>80118.95</v>
      </c>
      <c r="E2321" s="6">
        <v>36709</v>
      </c>
      <c r="F2321" s="9">
        <v>0.54</v>
      </c>
      <c r="H2321" s="11"/>
      <c r="I2321" s="11"/>
      <c r="J2321" s="11"/>
    </row>
    <row r="2322" spans="1:10" ht="15.75" x14ac:dyDescent="0.3">
      <c r="A2322" s="12" t="str">
        <f>HYPERLINK("https://parts-sales.ru/parts/MAN/81272026369","81.27202-6369")</f>
        <v>81.27202-6369</v>
      </c>
      <c r="B2322" s="12" t="str">
        <f>HYPERLINK("https://parts-sales.ru/parts/MAN/81272026369","Панель приборов ASG I4.2")</f>
        <v>Панель приборов ASG I4.2</v>
      </c>
      <c r="C2322" s="3" t="s">
        <v>24</v>
      </c>
      <c r="D2322" s="4">
        <v>189319.12</v>
      </c>
      <c r="E2322" s="4">
        <v>112843</v>
      </c>
      <c r="F2322" s="8">
        <v>0.4</v>
      </c>
      <c r="H2322" s="11"/>
      <c r="I2322" s="11"/>
      <c r="J2322" s="11"/>
    </row>
    <row r="2323" spans="1:10" ht="15.75" x14ac:dyDescent="0.3">
      <c r="A2323" s="13" t="str">
        <f>HYPERLINK("https://parts-sales.ru/parts/MAN/81274106046","81.27410-6046")</f>
        <v>81.27410-6046</v>
      </c>
      <c r="B2323" s="13" t="str">
        <f>HYPERLINK("https://parts-sales.ru/parts/MAN/81274106046","Масляный манометр")</f>
        <v>Масляный манометр</v>
      </c>
      <c r="C2323" s="5" t="s">
        <v>24</v>
      </c>
      <c r="D2323" s="6">
        <v>46052.4</v>
      </c>
      <c r="E2323" s="6">
        <v>9646</v>
      </c>
      <c r="F2323" s="9">
        <v>0.79</v>
      </c>
      <c r="H2323" s="11"/>
      <c r="I2323" s="11"/>
      <c r="J2323" s="11"/>
    </row>
    <row r="2324" spans="1:10" ht="15.75" x14ac:dyDescent="0.3">
      <c r="A2324" s="12" t="str">
        <f>HYPERLINK("https://parts-sales.ru/parts/MAN/81274210283","81.27421-0283")</f>
        <v>81.27421-0283</v>
      </c>
      <c r="B2324" s="12" t="str">
        <f>HYPERLINK("https://parts-sales.ru/parts/MAN/81274210283","Зонд для изм. уровня жидкости")</f>
        <v>Зонд для изм. уровня жидкости</v>
      </c>
      <c r="C2324" s="3" t="s">
        <v>24</v>
      </c>
      <c r="D2324" s="4">
        <v>7790.4</v>
      </c>
      <c r="E2324" s="4">
        <v>2330</v>
      </c>
      <c r="F2324" s="8">
        <v>0.7</v>
      </c>
      <c r="H2324" s="11"/>
      <c r="I2324" s="11"/>
      <c r="J2324" s="11"/>
    </row>
    <row r="2325" spans="1:10" ht="15.75" x14ac:dyDescent="0.3">
      <c r="A2325" s="13" t="str">
        <f>HYPERLINK("https://parts-sales.ru/parts/MAN/81274210300","81.27421-0300")</f>
        <v>81.27421-0300</v>
      </c>
      <c r="B2325" s="13" t="str">
        <f>HYPERLINK("https://parts-sales.ru/parts/MAN/81274210300","Выключ-ль, сраб. от разрежения")</f>
        <v>Выключ-ль, сраб. от разрежения</v>
      </c>
      <c r="C2325" s="5" t="s">
        <v>24</v>
      </c>
      <c r="D2325" s="6">
        <v>1389.6</v>
      </c>
      <c r="E2325" s="6">
        <v>290</v>
      </c>
      <c r="F2325" s="9">
        <v>0.79</v>
      </c>
      <c r="H2325" s="11"/>
      <c r="I2325" s="11"/>
      <c r="J2325" s="11"/>
    </row>
    <row r="2326" spans="1:10" ht="15.75" x14ac:dyDescent="0.3">
      <c r="A2326" s="12" t="str">
        <f>HYPERLINK("https://parts-sales.ru/parts/MAN/81276010017","81.27601-0017")</f>
        <v>81.27601-0017</v>
      </c>
      <c r="B2326" s="12" t="str">
        <f>HYPERLINK("https://parts-sales.ru/parts/MAN/81276010017","Цифровые часы")</f>
        <v>Цифровые часы</v>
      </c>
      <c r="C2326" s="3" t="s">
        <v>24</v>
      </c>
      <c r="D2326" s="4">
        <v>31899.599999999999</v>
      </c>
      <c r="E2326" s="4">
        <v>6480</v>
      </c>
      <c r="F2326" s="8">
        <v>0.8</v>
      </c>
      <c r="H2326" s="11"/>
      <c r="I2326" s="11"/>
      <c r="J2326" s="11"/>
    </row>
    <row r="2327" spans="1:10" ht="15.75" x14ac:dyDescent="0.3">
      <c r="A2327" s="13" t="str">
        <f>HYPERLINK("https://parts-sales.ru/parts/MAN/81276010018","81.27601-0018")</f>
        <v>81.27601-0018</v>
      </c>
      <c r="B2327" s="13" t="str">
        <f>HYPERLINK("https://parts-sales.ru/parts/MAN/81276010018","Часовое реле")</f>
        <v>Часовое реле</v>
      </c>
      <c r="C2327" s="5" t="s">
        <v>24</v>
      </c>
      <c r="D2327" s="6">
        <v>21611.68</v>
      </c>
      <c r="E2327" s="6">
        <v>10772</v>
      </c>
      <c r="F2327" s="9">
        <v>0.5</v>
      </c>
      <c r="H2327" s="11"/>
      <c r="I2327" s="11"/>
      <c r="J2327" s="11"/>
    </row>
    <row r="2328" spans="1:10" ht="15.75" x14ac:dyDescent="0.3">
      <c r="A2328" s="12" t="str">
        <f>HYPERLINK("https://parts-sales.ru/parts/MAN/81276010019","81.27601-0019")</f>
        <v>81.27601-0019</v>
      </c>
      <c r="B2328" s="12" t="str">
        <f>HYPERLINK("https://parts-sales.ru/parts/MAN/81276010019","Часовое реле TP7 SELECT")</f>
        <v>Часовое реле TP7 SELECT</v>
      </c>
      <c r="C2328" s="3" t="s">
        <v>24</v>
      </c>
      <c r="D2328" s="4">
        <v>18704.3</v>
      </c>
      <c r="E2328" s="4">
        <v>11115</v>
      </c>
      <c r="F2328" s="8">
        <v>0.41</v>
      </c>
      <c r="H2328" s="11"/>
      <c r="I2328" s="11"/>
      <c r="J2328" s="11"/>
    </row>
    <row r="2329" spans="1:10" ht="15.75" x14ac:dyDescent="0.3">
      <c r="A2329" s="13" t="str">
        <f>HYPERLINK("https://parts-sales.ru/parts/MAN/81276120008","81.27612-0008")</f>
        <v>81.27612-0008</v>
      </c>
      <c r="B2329" s="13" t="str">
        <f>HYPERLINK("https://parts-sales.ru/parts/MAN/81276120008","Декоративная крышка")</f>
        <v>Декоративная крышка</v>
      </c>
      <c r="C2329" s="5" t="s">
        <v>24</v>
      </c>
      <c r="D2329" s="6">
        <v>1012.8</v>
      </c>
      <c r="E2329" s="6">
        <v>235</v>
      </c>
      <c r="F2329" s="9">
        <v>0.77</v>
      </c>
      <c r="H2329" s="11"/>
      <c r="I2329" s="11"/>
      <c r="J2329" s="11"/>
    </row>
    <row r="2330" spans="1:10" ht="15.75" x14ac:dyDescent="0.3">
      <c r="A2330" s="12" t="str">
        <f>HYPERLINK("https://parts-sales.ru/parts/MAN/81276120012","81.27612-0012")</f>
        <v>81.27612-0012</v>
      </c>
      <c r="B2330" s="12" t="str">
        <f>HYPERLINK("https://parts-sales.ru/parts/MAN/81276120012","Пыльник")</f>
        <v>Пыльник</v>
      </c>
      <c r="C2330" s="3" t="s">
        <v>24</v>
      </c>
      <c r="D2330" s="4">
        <v>1972.8</v>
      </c>
      <c r="E2330" s="4">
        <v>459</v>
      </c>
      <c r="F2330" s="8">
        <v>0.77</v>
      </c>
      <c r="H2330" s="11"/>
      <c r="I2330" s="11"/>
      <c r="J2330" s="11"/>
    </row>
    <row r="2331" spans="1:10" ht="15.75" x14ac:dyDescent="0.3">
      <c r="A2331" s="13" t="str">
        <f>HYPERLINK("https://parts-sales.ru/parts/MAN/81276126017","81.27612-6017")</f>
        <v>81.27612-6017</v>
      </c>
      <c r="B2331" s="13" t="str">
        <f>HYPERLINK("https://parts-sales.ru/parts/MAN/81276126017","Кожух")</f>
        <v>Кожух</v>
      </c>
      <c r="C2331" s="5" t="s">
        <v>24</v>
      </c>
      <c r="D2331" s="6">
        <v>880.8</v>
      </c>
      <c r="E2331" s="6">
        <v>205</v>
      </c>
      <c r="F2331" s="9">
        <v>0.77</v>
      </c>
      <c r="H2331" s="11"/>
      <c r="I2331" s="11"/>
      <c r="J2331" s="11"/>
    </row>
    <row r="2332" spans="1:10" ht="15.75" x14ac:dyDescent="0.3">
      <c r="A2332" s="12" t="str">
        <f>HYPERLINK("https://parts-sales.ru/parts/MAN/81276126025","81.27612-6025")</f>
        <v>81.27612-6025</v>
      </c>
      <c r="B2332" s="12" t="str">
        <f>HYPERLINK("https://parts-sales.ru/parts/MAN/81276126025","Камера")</f>
        <v>Камера</v>
      </c>
      <c r="C2332" s="3" t="s">
        <v>24</v>
      </c>
      <c r="D2332" s="4">
        <v>89128.8</v>
      </c>
      <c r="E2332" s="4">
        <v>25392</v>
      </c>
      <c r="F2332" s="8">
        <v>0.72</v>
      </c>
      <c r="H2332" s="11"/>
      <c r="I2332" s="11"/>
      <c r="J2332" s="11"/>
    </row>
    <row r="2333" spans="1:10" ht="15.75" x14ac:dyDescent="0.3">
      <c r="A2333" s="13" t="str">
        <f>HYPERLINK("https://parts-sales.ru/parts/MAN/81276126026","81.27612-6026")</f>
        <v>81.27612-6026</v>
      </c>
      <c r="B2333" s="13" t="str">
        <f>HYPERLINK("https://parts-sales.ru/parts/MAN/81276126026","Камера Дальний свет")</f>
        <v>Камера Дальний свет</v>
      </c>
      <c r="C2333" s="5" t="s">
        <v>24</v>
      </c>
      <c r="D2333" s="6">
        <v>63626.84</v>
      </c>
      <c r="E2333" s="6">
        <v>18657</v>
      </c>
      <c r="F2333" s="9">
        <v>0.71</v>
      </c>
      <c r="H2333" s="11"/>
      <c r="I2333" s="11"/>
      <c r="J2333" s="11"/>
    </row>
    <row r="2334" spans="1:10" ht="15.75" x14ac:dyDescent="0.3">
      <c r="A2334" s="12" t="str">
        <f>HYPERLINK("https://parts-sales.ru/parts/MAN/81268030020","81.26803-0020")</f>
        <v>81.26803-0020</v>
      </c>
      <c r="B2334" s="12" t="str">
        <f>HYPERLINK("https://parts-sales.ru/parts/MAN/81268030020","Сито")</f>
        <v>Сито</v>
      </c>
      <c r="C2334" s="3" t="s">
        <v>27</v>
      </c>
      <c r="D2334" s="4">
        <v>2923.2</v>
      </c>
      <c r="E2334" s="4">
        <v>688</v>
      </c>
      <c r="F2334" s="8">
        <v>0.76</v>
      </c>
      <c r="H2334" s="11"/>
      <c r="I2334" s="11"/>
      <c r="J2334" s="11"/>
    </row>
    <row r="2335" spans="1:10" ht="15.75" x14ac:dyDescent="0.3">
      <c r="A2335" s="13" t="str">
        <f>HYPERLINK("https://parts-sales.ru/parts/MAN/81268030028","81.26803-0028")</f>
        <v>81.26803-0028</v>
      </c>
      <c r="B2335" s="13" t="str">
        <f>HYPERLINK("https://parts-sales.ru/parts/MAN/81268030028","Свеча накаливания")</f>
        <v>Свеча накаливания</v>
      </c>
      <c r="C2335" s="5" t="s">
        <v>27</v>
      </c>
      <c r="D2335" s="6">
        <v>29498.400000000001</v>
      </c>
      <c r="E2335" s="6">
        <v>6632</v>
      </c>
      <c r="F2335" s="9">
        <v>0.78</v>
      </c>
      <c r="H2335" s="11"/>
      <c r="I2335" s="11"/>
      <c r="J2335" s="11"/>
    </row>
    <row r="2336" spans="1:10" ht="15.75" x14ac:dyDescent="0.3">
      <c r="A2336" s="12" t="str">
        <f>HYPERLINK("https://parts-sales.ru/parts/MAN/85264210001","85.26421-0001")</f>
        <v>85.26421-0001</v>
      </c>
      <c r="B2336" s="12" t="str">
        <f>HYPERLINK("https://parts-sales.ru/parts/MAN/85264210001","Подшипник")</f>
        <v>Подшипник</v>
      </c>
      <c r="C2336" s="3" t="s">
        <v>12</v>
      </c>
      <c r="D2336" s="4">
        <v>2019.6</v>
      </c>
      <c r="E2336" s="4">
        <v>444</v>
      </c>
      <c r="F2336" s="8">
        <v>0.78</v>
      </c>
      <c r="H2336" s="11"/>
      <c r="I2336" s="11"/>
      <c r="J2336" s="11"/>
    </row>
    <row r="2337" spans="1:10" ht="15.75" x14ac:dyDescent="0.3">
      <c r="A2337" s="13" t="str">
        <f>HYPERLINK("https://parts-sales.ru/parts/MAN/34282400011","34.28240-0011")</f>
        <v>34.28240-0011</v>
      </c>
      <c r="B2337" s="13" t="str">
        <f>HYPERLINK("https://parts-sales.ru/parts/MAN/34282400011","Кожух")</f>
        <v>Кожух</v>
      </c>
      <c r="C2337" s="5" t="s">
        <v>12</v>
      </c>
      <c r="D2337" s="6">
        <v>1231.2</v>
      </c>
      <c r="E2337" s="6">
        <v>298</v>
      </c>
      <c r="F2337" s="9">
        <v>0.76</v>
      </c>
      <c r="H2337" s="11"/>
      <c r="I2337" s="11"/>
      <c r="J2337" s="11"/>
    </row>
    <row r="2338" spans="1:10" ht="15.75" x14ac:dyDescent="0.3">
      <c r="A2338" s="12" t="str">
        <f>HYPERLINK("https://parts-sales.ru/parts/MAN/81281006031","81.28100-6031")</f>
        <v>81.28100-6031</v>
      </c>
      <c r="B2338" s="12" t="str">
        <f>HYPERLINK("https://parts-sales.ru/parts/MAN/81281006031","Радиоустановка MMT2 ADVANCED")</f>
        <v>Радиоустановка MMT2 ADVANCED</v>
      </c>
      <c r="C2338" s="3" t="s">
        <v>12</v>
      </c>
      <c r="D2338" s="4">
        <v>99591.6</v>
      </c>
      <c r="E2338" s="4">
        <v>30339</v>
      </c>
      <c r="F2338" s="8">
        <v>0.7</v>
      </c>
      <c r="H2338" s="11"/>
      <c r="I2338" s="11"/>
      <c r="J2338" s="11"/>
    </row>
    <row r="2339" spans="1:10" ht="15.75" x14ac:dyDescent="0.3">
      <c r="A2339" s="13" t="str">
        <f>HYPERLINK("https://parts-sales.ru/parts/MAN/81281006052","81.28100-6052")</f>
        <v>81.28100-6052</v>
      </c>
      <c r="B2339" s="13" t="str">
        <f>HYPERLINK("https://parts-sales.ru/parts/MAN/81281006052","Радиоустановка MMT STARTER OHNE DAB")</f>
        <v>Радиоустановка MMT STARTER OHNE DAB</v>
      </c>
      <c r="C2339" s="5" t="s">
        <v>12</v>
      </c>
      <c r="D2339" s="6">
        <v>88435.199999999997</v>
      </c>
      <c r="E2339" s="6">
        <v>49815</v>
      </c>
      <c r="F2339" s="9">
        <v>0.44</v>
      </c>
      <c r="H2339" s="11"/>
      <c r="I2339" s="11"/>
      <c r="J2339" s="11"/>
    </row>
    <row r="2340" spans="1:10" ht="15.75" x14ac:dyDescent="0.3">
      <c r="A2340" s="12" t="str">
        <f>HYPERLINK("https://parts-sales.ru/parts/MAN/81281006073","81.28100-6073")</f>
        <v>81.28100-6073</v>
      </c>
      <c r="B2340" s="12" t="str">
        <f>HYPERLINK("https://parts-sales.ru/parts/MAN/81281006073","Радиоустановка MMT3 ADVANCED")</f>
        <v>Радиоустановка MMT3 ADVANCED</v>
      </c>
      <c r="C2340" s="3" t="s">
        <v>12</v>
      </c>
      <c r="D2340" s="4">
        <v>144934.99</v>
      </c>
      <c r="E2340" s="4">
        <v>60643</v>
      </c>
      <c r="F2340" s="8">
        <v>0.57999999999999996</v>
      </c>
      <c r="H2340" s="11"/>
      <c r="I2340" s="11"/>
      <c r="J2340" s="11"/>
    </row>
    <row r="2341" spans="1:10" ht="15.75" x14ac:dyDescent="0.3">
      <c r="A2341" s="13" t="str">
        <f>HYPERLINK("https://parts-sales.ru/parts/MAN/81281010021","81.28101-0021")</f>
        <v>81.28101-0021</v>
      </c>
      <c r="B2341" s="13" t="str">
        <f>HYPERLINK("https://parts-sales.ru/parts/MAN/81281010021","Вращающаяся ручка")</f>
        <v>Вращающаяся ручка</v>
      </c>
      <c r="C2341" s="5" t="s">
        <v>12</v>
      </c>
      <c r="D2341" s="6">
        <v>2132.4</v>
      </c>
      <c r="E2341" s="6">
        <v>679</v>
      </c>
      <c r="F2341" s="9">
        <v>0.68</v>
      </c>
      <c r="H2341" s="11"/>
      <c r="I2341" s="11"/>
      <c r="J2341" s="11"/>
    </row>
    <row r="2342" spans="1:10" ht="15.75" x14ac:dyDescent="0.3">
      <c r="A2342" s="12" t="str">
        <f>HYPERLINK("https://parts-sales.ru/parts/MAN/81281510089","81.28151-0089")</f>
        <v>81.28151-0089</v>
      </c>
      <c r="B2342" s="12" t="str">
        <f>HYPERLINK("https://parts-sales.ru/parts/MAN/81281510089","Флэш-карта пустой")</f>
        <v>Флэш-карта пустой</v>
      </c>
      <c r="C2342" s="3" t="s">
        <v>12</v>
      </c>
      <c r="D2342" s="4">
        <v>5336.4</v>
      </c>
      <c r="E2342" s="4">
        <v>2204</v>
      </c>
      <c r="F2342" s="8">
        <v>0.59</v>
      </c>
      <c r="H2342" s="11"/>
      <c r="I2342" s="11"/>
      <c r="J2342" s="11"/>
    </row>
    <row r="2343" spans="1:10" ht="15.75" x14ac:dyDescent="0.3">
      <c r="A2343" s="13" t="str">
        <f>HYPERLINK("https://parts-sales.ru/parts/MAN/81281636011","81.28163-6011")</f>
        <v>81.28163-6011</v>
      </c>
      <c r="B2343" s="13" t="str">
        <f>HYPERLINK("https://parts-sales.ru/parts/MAN/81281636011","Элемент управления Infotainment")</f>
        <v>Элемент управления Infotainment</v>
      </c>
      <c r="C2343" s="5" t="s">
        <v>12</v>
      </c>
      <c r="D2343" s="6">
        <v>16120.54</v>
      </c>
      <c r="E2343" s="6">
        <v>6726</v>
      </c>
      <c r="F2343" s="9">
        <v>0.57999999999999996</v>
      </c>
      <c r="H2343" s="11"/>
      <c r="I2343" s="11"/>
      <c r="J2343" s="11"/>
    </row>
    <row r="2344" spans="1:10" ht="15.75" x14ac:dyDescent="0.3">
      <c r="A2344" s="12" t="str">
        <f>HYPERLINK("https://parts-sales.ru/parts/MAN/81281636013","81.28163-6013")</f>
        <v>81.28163-6013</v>
      </c>
      <c r="B2344" s="12" t="str">
        <f>HYPERLINK("https://parts-sales.ru/parts/MAN/81281636013","Элемент управления Радиоустановка")</f>
        <v>Элемент управления Радиоустановка</v>
      </c>
      <c r="C2344" s="3" t="s">
        <v>12</v>
      </c>
      <c r="D2344" s="4">
        <v>21249.599999999999</v>
      </c>
      <c r="E2344" s="4">
        <v>5176</v>
      </c>
      <c r="F2344" s="8">
        <v>0.76</v>
      </c>
      <c r="H2344" s="11"/>
      <c r="I2344" s="11"/>
      <c r="J2344" s="11"/>
    </row>
    <row r="2345" spans="1:10" ht="15.75" x14ac:dyDescent="0.3">
      <c r="A2345" s="13" t="str">
        <f>HYPERLINK("https://parts-sales.ru/parts/MAN/81301010188","81.30101-0188")</f>
        <v>81.30101-0188</v>
      </c>
      <c r="B2345" s="13" t="str">
        <f>HYPERLINK("https://parts-sales.ru/parts/MAN/81301010188","Корпус сцепления")</f>
        <v>Корпус сцепления</v>
      </c>
      <c r="C2345" s="5" t="s">
        <v>28</v>
      </c>
      <c r="D2345" s="6">
        <v>162569.07</v>
      </c>
      <c r="E2345" s="6">
        <v>97174</v>
      </c>
      <c r="F2345" s="9">
        <v>0.4</v>
      </c>
      <c r="H2345" s="11"/>
      <c r="I2345" s="11"/>
      <c r="J2345" s="11"/>
    </row>
    <row r="2346" spans="1:10" ht="15.75" x14ac:dyDescent="0.3">
      <c r="A2346" s="12" t="str">
        <f>HYPERLINK("https://parts-sales.ru/parts/MAN/81303006002","81.30300-6002")</f>
        <v>81.30300-6002</v>
      </c>
      <c r="B2346" s="12" t="str">
        <f>HYPERLINK("https://parts-sales.ru/parts/MAN/81303006002","Рем компл сцепления")</f>
        <v>Рем компл сцепления</v>
      </c>
      <c r="C2346" s="3" t="s">
        <v>28</v>
      </c>
      <c r="D2346" s="4">
        <v>23316</v>
      </c>
      <c r="E2346" s="4">
        <v>9442</v>
      </c>
      <c r="F2346" s="8">
        <v>0.6</v>
      </c>
      <c r="H2346" s="11"/>
      <c r="I2346" s="11"/>
      <c r="J2346" s="11"/>
    </row>
    <row r="2347" spans="1:10" ht="15.75" x14ac:dyDescent="0.3">
      <c r="A2347" s="13" t="str">
        <f>HYPERLINK("https://parts-sales.ru/parts/MAN/81303006003","81.30300-6003")</f>
        <v>81.30300-6003</v>
      </c>
      <c r="B2347" s="13" t="str">
        <f>HYPERLINK("https://parts-sales.ru/parts/MAN/81303006003","Рем компл сцепления")</f>
        <v>Рем компл сцепления</v>
      </c>
      <c r="C2347" s="5" t="s">
        <v>28</v>
      </c>
      <c r="D2347" s="6">
        <v>19869.599999999999</v>
      </c>
      <c r="E2347" s="6">
        <v>4925</v>
      </c>
      <c r="F2347" s="9">
        <v>0.75</v>
      </c>
      <c r="H2347" s="11"/>
      <c r="I2347" s="11"/>
      <c r="J2347" s="11"/>
    </row>
    <row r="2348" spans="1:10" ht="15.75" x14ac:dyDescent="0.3">
      <c r="A2348" s="12" t="str">
        <f>HYPERLINK("https://parts-sales.ru/parts/MAN/81303010570","81.30301-0570")</f>
        <v>81.30301-0570</v>
      </c>
      <c r="B2348" s="12" t="str">
        <f>HYPERLINK("https://parts-sales.ru/parts/MAN/81303010570","Диск сцепления 430/232 WGTZ")</f>
        <v>Диск сцепления 430/232 WGTZ</v>
      </c>
      <c r="C2348" s="3" t="s">
        <v>28</v>
      </c>
      <c r="D2348" s="4">
        <v>43332.639999999999</v>
      </c>
      <c r="E2348" s="4">
        <v>19854</v>
      </c>
      <c r="F2348" s="8">
        <v>0.54</v>
      </c>
      <c r="H2348" s="11"/>
      <c r="I2348" s="11"/>
      <c r="J2348" s="11"/>
    </row>
    <row r="2349" spans="1:10" ht="15.75" x14ac:dyDescent="0.3">
      <c r="A2349" s="13" t="str">
        <f>HYPERLINK("https://parts-sales.ru/parts/MAN/81303010622","81.30301-0622")</f>
        <v>81.30301-0622</v>
      </c>
      <c r="B2349" s="13" t="str">
        <f>HYPERLINK("https://parts-sales.ru/parts/MAN/81303010622","Диск сцепления")</f>
        <v>Диск сцепления</v>
      </c>
      <c r="C2349" s="5" t="s">
        <v>28</v>
      </c>
      <c r="D2349" s="6">
        <v>172558.8</v>
      </c>
      <c r="E2349" s="6">
        <v>22202</v>
      </c>
      <c r="F2349" s="9">
        <v>0.87</v>
      </c>
      <c r="H2349" s="11"/>
      <c r="I2349" s="11"/>
      <c r="J2349" s="11"/>
    </row>
    <row r="2350" spans="1:10" ht="15.75" x14ac:dyDescent="0.3">
      <c r="A2350" s="12" t="str">
        <f>HYPERLINK("https://parts-sales.ru/parts/MAN/81303010626","81.30301-0626")</f>
        <v>81.30301-0626</v>
      </c>
      <c r="B2350" s="12" t="str">
        <f>HYPERLINK("https://parts-sales.ru/parts/MAN/81303010626","Диск сцепления 430/232 WGTZ")</f>
        <v>Диск сцепления 430/232 WGTZ</v>
      </c>
      <c r="C2350" s="3" t="s">
        <v>28</v>
      </c>
      <c r="D2350" s="4">
        <v>76158.7</v>
      </c>
      <c r="E2350" s="4">
        <v>31776</v>
      </c>
      <c r="F2350" s="8">
        <v>0.57999999999999996</v>
      </c>
      <c r="H2350" s="11"/>
      <c r="I2350" s="11"/>
      <c r="J2350" s="11"/>
    </row>
    <row r="2351" spans="1:10" ht="15.75" x14ac:dyDescent="0.3">
      <c r="A2351" s="13" t="str">
        <f>HYPERLINK("https://parts-sales.ru/parts/MAN/81303010710","81.30301-0710")</f>
        <v>81.30301-0710</v>
      </c>
      <c r="B2351" s="13" t="str">
        <f>HYPERLINK("https://parts-sales.ru/parts/MAN/81303010710","Диск сцепления")</f>
        <v>Диск сцепления</v>
      </c>
      <c r="C2351" s="5" t="s">
        <v>28</v>
      </c>
      <c r="D2351" s="6">
        <v>100543.03</v>
      </c>
      <c r="E2351" s="6">
        <v>46920</v>
      </c>
      <c r="F2351" s="9">
        <v>0.53</v>
      </c>
      <c r="H2351" s="11"/>
      <c r="I2351" s="11"/>
      <c r="J2351" s="11"/>
    </row>
    <row r="2352" spans="1:10" ht="15.75" x14ac:dyDescent="0.3">
      <c r="A2352" s="12" t="str">
        <f>HYPERLINK("https://parts-sales.ru/parts/MAN/81303010753","81.30301-0753")</f>
        <v>81.30301-0753</v>
      </c>
      <c r="B2352" s="12" t="str">
        <f>HYPERLINK("https://parts-sales.ru/parts/MAN/81303010753","Диск сцепления 430 / 285 BELAG F830")</f>
        <v>Диск сцепления 430 / 285 BELAG F830</v>
      </c>
      <c r="C2352" s="3" t="s">
        <v>28</v>
      </c>
      <c r="D2352" s="4">
        <v>97368.95</v>
      </c>
      <c r="E2352" s="4">
        <v>63732</v>
      </c>
      <c r="F2352" s="8">
        <v>0.35</v>
      </c>
      <c r="H2352" s="11"/>
      <c r="I2352" s="11"/>
      <c r="J2352" s="11"/>
    </row>
    <row r="2353" spans="1:10" ht="15.75" x14ac:dyDescent="0.3">
      <c r="A2353" s="13" t="str">
        <f>HYPERLINK("https://parts-sales.ru/parts/MAN/81303010765","81.30301-0765")</f>
        <v>81.30301-0765</v>
      </c>
      <c r="B2353" s="13" t="str">
        <f>HYPERLINK("https://parts-sales.ru/parts/MAN/81303010765","Диск сцепления 430 / 254 F830")</f>
        <v>Диск сцепления 430 / 254 F830</v>
      </c>
      <c r="C2353" s="5" t="s">
        <v>28</v>
      </c>
      <c r="D2353" s="6">
        <v>223543.2</v>
      </c>
      <c r="E2353" s="6">
        <v>56557</v>
      </c>
      <c r="F2353" s="9">
        <v>0.75</v>
      </c>
      <c r="H2353" s="11"/>
      <c r="I2353" s="11"/>
      <c r="J2353" s="11"/>
    </row>
    <row r="2354" spans="1:10" ht="15.75" x14ac:dyDescent="0.3">
      <c r="A2354" s="12" t="str">
        <f>HYPERLINK("https://parts-sales.ru/parts/MAN/81303019630","81.30301-9630")</f>
        <v>81.30301-9630</v>
      </c>
      <c r="B2354" s="12" t="str">
        <f>HYPERLINK("https://parts-sales.ru/parts/MAN/81303019630","Диск сцепления")</f>
        <v>Диск сцепления</v>
      </c>
      <c r="C2354" s="3" t="s">
        <v>28</v>
      </c>
      <c r="D2354" s="4">
        <v>74477.95</v>
      </c>
      <c r="E2354" s="4">
        <v>19257</v>
      </c>
      <c r="F2354" s="8">
        <v>0.74</v>
      </c>
      <c r="H2354" s="11"/>
      <c r="I2354" s="11"/>
      <c r="J2354" s="11"/>
    </row>
    <row r="2355" spans="1:10" ht="15.75" x14ac:dyDescent="0.3">
      <c r="A2355" s="13" t="str">
        <f>HYPERLINK("https://parts-sales.ru/parts/MAN/81303019767","81.30301-9767")</f>
        <v>81.30301-9767</v>
      </c>
      <c r="B2355" s="13" t="str">
        <f>HYPERLINK("https://parts-sales.ru/parts/MAN/81303019767","Диск сцепления 430 / 254 F510")</f>
        <v>Диск сцепления 430 / 254 F510</v>
      </c>
      <c r="C2355" s="5" t="s">
        <v>28</v>
      </c>
      <c r="D2355" s="6">
        <v>163408.79999999999</v>
      </c>
      <c r="E2355" s="6">
        <v>52775</v>
      </c>
      <c r="F2355" s="9">
        <v>0.68</v>
      </c>
      <c r="H2355" s="11"/>
      <c r="I2355" s="11"/>
      <c r="J2355" s="11"/>
    </row>
    <row r="2356" spans="1:10" ht="15.75" x14ac:dyDescent="0.3">
      <c r="A2356" s="12" t="str">
        <f>HYPERLINK("https://parts-sales.ru/parts/MAN/81303059193","81.30305-9193")</f>
        <v>81.30305-9193</v>
      </c>
      <c r="B2356" s="12" t="str">
        <f>HYPERLINK("https://parts-sales.ru/parts/MAN/81303059193","Корзина сцепления MFZ 430")</f>
        <v>Корзина сцепления MFZ 430</v>
      </c>
      <c r="C2356" s="3" t="s">
        <v>28</v>
      </c>
      <c r="D2356" s="4">
        <v>75272.61</v>
      </c>
      <c r="E2356" s="4">
        <v>44795</v>
      </c>
      <c r="F2356" s="8">
        <v>0.4</v>
      </c>
      <c r="H2356" s="11"/>
      <c r="I2356" s="11"/>
      <c r="J2356" s="11"/>
    </row>
    <row r="2357" spans="1:10" ht="15.75" x14ac:dyDescent="0.3">
      <c r="A2357" s="13" t="str">
        <f>HYPERLINK("https://parts-sales.ru/parts/MAN/81305500116","81.30550-0116")</f>
        <v>81.30550-0116</v>
      </c>
      <c r="B2357" s="13" t="str">
        <f>HYPERLINK("https://parts-sales.ru/parts/MAN/81305500116","Выжимной подшипник")</f>
        <v>Выжимной подшипник</v>
      </c>
      <c r="C2357" s="5" t="s">
        <v>28</v>
      </c>
      <c r="D2357" s="6">
        <v>19913.16</v>
      </c>
      <c r="E2357" s="6">
        <v>13222</v>
      </c>
      <c r="F2357" s="9">
        <v>0.34</v>
      </c>
      <c r="H2357" s="11"/>
      <c r="I2357" s="11"/>
      <c r="J2357" s="11"/>
    </row>
    <row r="2358" spans="1:10" ht="15.75" x14ac:dyDescent="0.3">
      <c r="A2358" s="12" t="str">
        <f>HYPERLINK("https://parts-sales.ru/parts/MAN/81305500261","81.30550-0261")</f>
        <v>81.30550-0261</v>
      </c>
      <c r="B2358" s="12" t="str">
        <f>HYPERLINK("https://parts-sales.ru/parts/MAN/81305500261","Выжимной подшипник")</f>
        <v>Выжимной подшипник</v>
      </c>
      <c r="C2358" s="3" t="s">
        <v>28</v>
      </c>
      <c r="D2358" s="4">
        <v>74514</v>
      </c>
      <c r="E2358" s="4">
        <v>11816</v>
      </c>
      <c r="F2358" s="8">
        <v>0.84</v>
      </c>
      <c r="H2358" s="11"/>
      <c r="I2358" s="11"/>
      <c r="J2358" s="11"/>
    </row>
    <row r="2359" spans="1:10" ht="15.75" x14ac:dyDescent="0.3">
      <c r="A2359" s="13" t="str">
        <f>HYPERLINK("https://parts-sales.ru/parts/MAN/81305600073","81.30560-0073")</f>
        <v>81.30560-0073</v>
      </c>
      <c r="B2359" s="13" t="str">
        <f>HYPERLINK("https://parts-sales.ru/parts/MAN/81305600073","Расцепляющая вилка")</f>
        <v>Расцепляющая вилка</v>
      </c>
      <c r="C2359" s="5" t="s">
        <v>28</v>
      </c>
      <c r="D2359" s="6">
        <v>51198</v>
      </c>
      <c r="E2359" s="6">
        <v>13111</v>
      </c>
      <c r="F2359" s="9">
        <v>0.74</v>
      </c>
      <c r="H2359" s="11"/>
      <c r="I2359" s="11"/>
      <c r="J2359" s="11"/>
    </row>
    <row r="2360" spans="1:10" ht="15.75" x14ac:dyDescent="0.3">
      <c r="A2360" s="12" t="str">
        <f>HYPERLINK("https://parts-sales.ru/parts/MAN/81305600077","81.30560-0077")</f>
        <v>81.30560-0077</v>
      </c>
      <c r="B2360" s="12" t="str">
        <f>HYPERLINK("https://parts-sales.ru/parts/MAN/81305600077","Расцепляющая вилка")</f>
        <v>Расцепляющая вилка</v>
      </c>
      <c r="C2360" s="3" t="s">
        <v>28</v>
      </c>
      <c r="D2360" s="4">
        <v>81229.2</v>
      </c>
      <c r="E2360" s="4">
        <v>11837</v>
      </c>
      <c r="F2360" s="8">
        <v>0.85</v>
      </c>
      <c r="H2360" s="11"/>
      <c r="I2360" s="11"/>
      <c r="J2360" s="11"/>
    </row>
    <row r="2361" spans="1:10" ht="15.75" x14ac:dyDescent="0.3">
      <c r="A2361" s="13" t="str">
        <f>HYPERLINK("https://parts-sales.ru/parts/MAN/81307256042","81.30725-6042")</f>
        <v>81.30725-6042</v>
      </c>
      <c r="B2361" s="13" t="str">
        <f>HYPERLINK("https://parts-sales.ru/parts/MAN/81307256042","Рем компл цил сервоприв сцепл без асбест")</f>
        <v>Рем компл цил сервоприв сцепл без асбест</v>
      </c>
      <c r="C2361" s="5" t="s">
        <v>28</v>
      </c>
      <c r="D2361" s="6">
        <v>43849.8</v>
      </c>
      <c r="E2361" s="6">
        <v>20463</v>
      </c>
      <c r="F2361" s="9">
        <v>0.53</v>
      </c>
      <c r="H2361" s="11"/>
      <c r="I2361" s="11"/>
      <c r="J2361" s="11"/>
    </row>
    <row r="2362" spans="1:10" ht="15.75" x14ac:dyDescent="0.3">
      <c r="A2362" s="12" t="str">
        <f>HYPERLINK("https://parts-sales.ru/parts/MAN/81307256099","81.30725-6099")</f>
        <v>81.30725-6099</v>
      </c>
      <c r="B2362" s="12" t="str">
        <f>HYPERLINK("https://parts-sales.ru/parts/MAN/81307256099","Рем компл цил сервоприв сцепл Уплотнител")</f>
        <v>Рем компл цил сервоприв сцепл Уплотнител</v>
      </c>
      <c r="C2362" s="3" t="s">
        <v>28</v>
      </c>
      <c r="D2362" s="4">
        <v>62421.599999999999</v>
      </c>
      <c r="E2362" s="4">
        <v>13193</v>
      </c>
      <c r="F2362" s="8">
        <v>0.79</v>
      </c>
      <c r="H2362" s="11"/>
      <c r="I2362" s="11"/>
      <c r="J2362" s="11"/>
    </row>
    <row r="2363" spans="1:10" ht="15.75" x14ac:dyDescent="0.3">
      <c r="A2363" s="13" t="str">
        <f>HYPERLINK("https://parts-sales.ru/parts/MAN/81307260004","81.30726-0004")</f>
        <v>81.30726-0004</v>
      </c>
      <c r="B2363" s="13" t="str">
        <f>HYPERLINK("https://parts-sales.ru/parts/MAN/81307260004","Сито")</f>
        <v>Сито</v>
      </c>
      <c r="C2363" s="5" t="s">
        <v>28</v>
      </c>
      <c r="D2363" s="6">
        <v>1683.6</v>
      </c>
      <c r="E2363" s="6">
        <v>28</v>
      </c>
      <c r="F2363" s="9">
        <v>0.98</v>
      </c>
      <c r="H2363" s="11"/>
      <c r="I2363" s="11"/>
      <c r="J2363" s="11"/>
    </row>
    <row r="2364" spans="1:10" ht="15.75" x14ac:dyDescent="0.3">
      <c r="A2364" s="12" t="str">
        <f>HYPERLINK("https://parts-sales.ru/parts/MAN/81307400050","81.30740-0050")</f>
        <v>81.30740-0050</v>
      </c>
      <c r="B2364" s="12" t="str">
        <f>HYPERLINK("https://parts-sales.ru/parts/MAN/81307400050","Консоль")</f>
        <v>Консоль</v>
      </c>
      <c r="C2364" s="3" t="s">
        <v>28</v>
      </c>
      <c r="D2364" s="4">
        <v>18388.8</v>
      </c>
      <c r="E2364" s="4">
        <v>4608</v>
      </c>
      <c r="F2364" s="8">
        <v>0.75</v>
      </c>
      <c r="H2364" s="11"/>
      <c r="I2364" s="11"/>
      <c r="J2364" s="11"/>
    </row>
    <row r="2365" spans="1:10" ht="15.75" x14ac:dyDescent="0.3">
      <c r="A2365" s="13" t="str">
        <f>HYPERLINK("https://parts-sales.ru/parts/MAN/81321060223","81.32106-0223")</f>
        <v>81.32106-0223</v>
      </c>
      <c r="B2365" s="13" t="str">
        <f>HYPERLINK("https://parts-sales.ru/parts/MAN/81321060223","Крышка кожуха")</f>
        <v>Крышка кожуха</v>
      </c>
      <c r="C2365" s="5" t="s">
        <v>29</v>
      </c>
      <c r="D2365" s="6">
        <v>67002.98</v>
      </c>
      <c r="E2365" s="6">
        <v>27986</v>
      </c>
      <c r="F2365" s="9">
        <v>0.57999999999999996</v>
      </c>
      <c r="H2365" s="11"/>
      <c r="I2365" s="11"/>
      <c r="J2365" s="11"/>
    </row>
    <row r="2366" spans="1:10" ht="15.75" x14ac:dyDescent="0.3">
      <c r="A2366" s="12" t="str">
        <f>HYPERLINK("https://parts-sales.ru/parts/MAN/81321060261","81.32106-0261")</f>
        <v>81.32106-0261</v>
      </c>
      <c r="B2366" s="12" t="str">
        <f>HYPERLINK("https://parts-sales.ru/parts/MAN/81321060261","Крышка")</f>
        <v>Крышка</v>
      </c>
      <c r="C2366" s="3" t="s">
        <v>29</v>
      </c>
      <c r="D2366" s="4">
        <v>3100.8</v>
      </c>
      <c r="E2366" s="4">
        <v>685</v>
      </c>
      <c r="F2366" s="8">
        <v>0.78</v>
      </c>
      <c r="H2366" s="11"/>
      <c r="I2366" s="11"/>
      <c r="J2366" s="11"/>
    </row>
    <row r="2367" spans="1:10" ht="15.75" x14ac:dyDescent="0.3">
      <c r="A2367" s="13" t="str">
        <f>HYPERLINK("https://parts-sales.ru/parts/MAN/81321060303","81.32106-0303")</f>
        <v>81.32106-0303</v>
      </c>
      <c r="B2367" s="13" t="str">
        <f>HYPERLINK("https://parts-sales.ru/parts/MAN/81321060303","Крышка")</f>
        <v>Крышка</v>
      </c>
      <c r="C2367" s="5" t="s">
        <v>29</v>
      </c>
      <c r="D2367" s="6">
        <v>11707.2</v>
      </c>
      <c r="E2367" s="6">
        <v>3107</v>
      </c>
      <c r="F2367" s="9">
        <v>0.73</v>
      </c>
      <c r="H2367" s="11"/>
      <c r="I2367" s="11"/>
      <c r="J2367" s="11"/>
    </row>
    <row r="2368" spans="1:10" ht="15.75" x14ac:dyDescent="0.3">
      <c r="A2368" s="12" t="str">
        <f>HYPERLINK("https://parts-sales.ru/parts/MAN/81321180017","81.32118-0017")</f>
        <v>81.32118-0017</v>
      </c>
      <c r="B2368" s="12" t="str">
        <f>HYPERLINK("https://parts-sales.ru/parts/MAN/81321180017","Элемент масляного фильтра")</f>
        <v>Элемент масляного фильтра</v>
      </c>
      <c r="C2368" s="3" t="s">
        <v>29</v>
      </c>
      <c r="D2368" s="4">
        <v>8484</v>
      </c>
      <c r="E2368" s="4">
        <v>2006</v>
      </c>
      <c r="F2368" s="8">
        <v>0.76</v>
      </c>
      <c r="H2368" s="11"/>
      <c r="I2368" s="11"/>
      <c r="J2368" s="11"/>
    </row>
    <row r="2369" spans="1:10" ht="15.75" x14ac:dyDescent="0.3">
      <c r="A2369" s="13" t="str">
        <f>HYPERLINK("https://parts-sales.ru/parts/MAN/81321180023","81.32118-0023")</f>
        <v>81.32118-0023</v>
      </c>
      <c r="B2369" s="13" t="str">
        <f>HYPERLINK("https://parts-sales.ru/parts/MAN/81321180023","Крышка")</f>
        <v>Крышка</v>
      </c>
      <c r="C2369" s="5" t="s">
        <v>29</v>
      </c>
      <c r="D2369" s="6">
        <v>7960.8</v>
      </c>
      <c r="E2369" s="6">
        <v>2548</v>
      </c>
      <c r="F2369" s="9">
        <v>0.68</v>
      </c>
      <c r="H2369" s="11"/>
      <c r="I2369" s="11"/>
      <c r="J2369" s="11"/>
    </row>
    <row r="2370" spans="1:10" ht="15.75" x14ac:dyDescent="0.3">
      <c r="A2370" s="12" t="str">
        <f>HYPERLINK("https://parts-sales.ru/parts/MAN/81321180027","81.32118-0027")</f>
        <v>81.32118-0027</v>
      </c>
      <c r="B2370" s="12" t="str">
        <f>HYPERLINK("https://parts-sales.ru/parts/MAN/81321180027","Сменный масляный фильтр")</f>
        <v>Сменный масляный фильтр</v>
      </c>
      <c r="C2370" s="3" t="s">
        <v>29</v>
      </c>
      <c r="D2370" s="4">
        <v>6982.8</v>
      </c>
      <c r="E2370" s="4">
        <v>3019</v>
      </c>
      <c r="F2370" s="8">
        <v>0.56999999999999995</v>
      </c>
      <c r="H2370" s="11"/>
      <c r="I2370" s="11"/>
      <c r="J2370" s="11"/>
    </row>
    <row r="2371" spans="1:10" ht="15.75" x14ac:dyDescent="0.3">
      <c r="A2371" s="13" t="str">
        <f>HYPERLINK("https://parts-sales.ru/parts/MAN/81321400031","81.32140-0031")</f>
        <v>81.32140-0031</v>
      </c>
      <c r="B2371" s="13" t="str">
        <f>HYPERLINK("https://parts-sales.ru/parts/MAN/81321400031","Держатель")</f>
        <v>Держатель</v>
      </c>
      <c r="C2371" s="5" t="s">
        <v>29</v>
      </c>
      <c r="D2371" s="6">
        <v>2545.1999999999998</v>
      </c>
      <c r="E2371" s="6">
        <v>705</v>
      </c>
      <c r="F2371" s="9">
        <v>0.72</v>
      </c>
      <c r="H2371" s="11"/>
      <c r="I2371" s="11"/>
      <c r="J2371" s="11"/>
    </row>
    <row r="2372" spans="1:10" ht="15.75" x14ac:dyDescent="0.3">
      <c r="A2372" s="12" t="str">
        <f>HYPERLINK("https://parts-sales.ru/parts/MAN/81321400037","81.32140-0037")</f>
        <v>81.32140-0037</v>
      </c>
      <c r="B2372" s="12" t="str">
        <f>HYPERLINK("https://parts-sales.ru/parts/MAN/81321400037","Направляющий штифт")</f>
        <v>Направляющий штифт</v>
      </c>
      <c r="C2372" s="3" t="s">
        <v>29</v>
      </c>
      <c r="D2372" s="4">
        <v>2908.8</v>
      </c>
      <c r="E2372" s="4">
        <v>632</v>
      </c>
      <c r="F2372" s="8">
        <v>0.78</v>
      </c>
      <c r="H2372" s="11"/>
      <c r="I2372" s="11"/>
      <c r="J2372" s="11"/>
    </row>
    <row r="2373" spans="1:10" ht="15.75" x14ac:dyDescent="0.3">
      <c r="A2373" s="13" t="str">
        <f>HYPERLINK("https://parts-sales.ru/parts/MAN/81321400046","81.32140-0046")</f>
        <v>81.32140-0046</v>
      </c>
      <c r="B2373" s="13" t="str">
        <f>HYPERLINK("https://parts-sales.ru/parts/MAN/81321400046","Скоба")</f>
        <v>Скоба</v>
      </c>
      <c r="C2373" s="5" t="s">
        <v>29</v>
      </c>
      <c r="D2373" s="6">
        <v>13843.2</v>
      </c>
      <c r="E2373" s="6">
        <v>3826</v>
      </c>
      <c r="F2373" s="9">
        <v>0.72</v>
      </c>
      <c r="H2373" s="11"/>
      <c r="I2373" s="11"/>
      <c r="J2373" s="11"/>
    </row>
    <row r="2374" spans="1:10" ht="15.75" x14ac:dyDescent="0.3">
      <c r="A2374" s="12" t="str">
        <f>HYPERLINK("https://parts-sales.ru/parts/MAN/81322026028","81.32202-6028")</f>
        <v>81.32202-6028</v>
      </c>
      <c r="B2374" s="12" t="str">
        <f>HYPERLINK("https://parts-sales.ru/parts/MAN/81322026028","Ремонтный комплект Главный вал")</f>
        <v>Ремонтный комплект Главный вал</v>
      </c>
      <c r="C2374" s="3" t="s">
        <v>29</v>
      </c>
      <c r="D2374" s="4">
        <v>109021.2</v>
      </c>
      <c r="E2374" s="4">
        <v>33212</v>
      </c>
      <c r="F2374" s="8">
        <v>0.7</v>
      </c>
      <c r="H2374" s="11"/>
      <c r="I2374" s="11"/>
      <c r="J2374" s="11"/>
    </row>
    <row r="2375" spans="1:10" ht="15.75" x14ac:dyDescent="0.3">
      <c r="A2375" s="13" t="str">
        <f>HYPERLINK("https://parts-sales.ru/parts/MAN/81322060166","81.32206-0166")</f>
        <v>81.32206-0166</v>
      </c>
      <c r="B2375" s="13" t="str">
        <f>HYPERLINK("https://parts-sales.ru/parts/MAN/81322060166","Вал контрпривода")</f>
        <v>Вал контрпривода</v>
      </c>
      <c r="C2375" s="5" t="s">
        <v>29</v>
      </c>
      <c r="D2375" s="6">
        <v>187359.6</v>
      </c>
      <c r="E2375" s="6">
        <v>57078</v>
      </c>
      <c r="F2375" s="9">
        <v>0.7</v>
      </c>
      <c r="H2375" s="11"/>
      <c r="I2375" s="11"/>
      <c r="J2375" s="11"/>
    </row>
    <row r="2376" spans="1:10" ht="15.75" x14ac:dyDescent="0.3">
      <c r="A2376" s="12" t="str">
        <f>HYPERLINK("https://parts-sales.ru/parts/MAN/81322066039","81.32206-6039")</f>
        <v>81.32206-6039</v>
      </c>
      <c r="B2376" s="12" t="str">
        <f>HYPERLINK("https://parts-sales.ru/parts/MAN/81322066039","Промежуточный вал")</f>
        <v>Промежуточный вал</v>
      </c>
      <c r="C2376" s="3" t="s">
        <v>29</v>
      </c>
      <c r="D2376" s="4">
        <v>55456.800000000003</v>
      </c>
      <c r="E2376" s="4">
        <v>14765</v>
      </c>
      <c r="F2376" s="8">
        <v>0.73</v>
      </c>
      <c r="H2376" s="11"/>
      <c r="I2376" s="11"/>
      <c r="J2376" s="11"/>
    </row>
    <row r="2377" spans="1:10" ht="15.75" x14ac:dyDescent="0.3">
      <c r="A2377" s="13" t="str">
        <f>HYPERLINK("https://parts-sales.ru/parts/MAN/81322080039","81.32208-0039")</f>
        <v>81.32208-0039</v>
      </c>
      <c r="B2377" s="13" t="str">
        <f>HYPERLINK("https://parts-sales.ru/parts/MAN/81322080039","Направляющий штифт")</f>
        <v>Направляющий штифт</v>
      </c>
      <c r="C2377" s="5" t="s">
        <v>29</v>
      </c>
      <c r="D2377" s="6">
        <v>410.4</v>
      </c>
      <c r="E2377" s="6">
        <v>92</v>
      </c>
      <c r="F2377" s="9">
        <v>0.78</v>
      </c>
      <c r="H2377" s="11"/>
      <c r="I2377" s="11"/>
      <c r="J2377" s="11"/>
    </row>
    <row r="2378" spans="1:10" ht="15.75" x14ac:dyDescent="0.3">
      <c r="A2378" s="12" t="str">
        <f>HYPERLINK("https://parts-sales.ru/parts/MAN/81322110013","81.32211-0013")</f>
        <v>81.32211-0013</v>
      </c>
      <c r="B2378" s="12" t="str">
        <f>HYPERLINK("https://parts-sales.ru/parts/MAN/81322110013","Планетарная опора")</f>
        <v>Планетарная опора</v>
      </c>
      <c r="C2378" s="3" t="s">
        <v>29</v>
      </c>
      <c r="D2378" s="4">
        <v>219868.79999999999</v>
      </c>
      <c r="E2378" s="4">
        <v>48378</v>
      </c>
      <c r="F2378" s="8">
        <v>0.78</v>
      </c>
      <c r="H2378" s="11"/>
      <c r="I2378" s="11"/>
      <c r="J2378" s="11"/>
    </row>
    <row r="2379" spans="1:10" ht="15.75" x14ac:dyDescent="0.3">
      <c r="A2379" s="13" t="str">
        <f>HYPERLINK("https://parts-sales.ru/parts/MAN/81322200084","81.32220-0084")</f>
        <v>81.32220-0084</v>
      </c>
      <c r="B2379" s="13" t="str">
        <f>HYPERLINK("https://parts-sales.ru/parts/MAN/81322200084","Труба")</f>
        <v>Труба</v>
      </c>
      <c r="C2379" s="5" t="s">
        <v>29</v>
      </c>
      <c r="D2379" s="6">
        <v>1417.2</v>
      </c>
      <c r="E2379" s="6">
        <v>312</v>
      </c>
      <c r="F2379" s="9">
        <v>0.78</v>
      </c>
      <c r="H2379" s="11"/>
      <c r="I2379" s="11"/>
      <c r="J2379" s="11"/>
    </row>
    <row r="2380" spans="1:10" ht="15.75" x14ac:dyDescent="0.3">
      <c r="A2380" s="12" t="str">
        <f>HYPERLINK("https://parts-sales.ru/parts/MAN/81322400043","81.32240-0043")</f>
        <v>81.32240-0043</v>
      </c>
      <c r="B2380" s="12" t="str">
        <f>HYPERLINK("https://parts-sales.ru/parts/MAN/81322400043","Клин")</f>
        <v>Клин</v>
      </c>
      <c r="C2380" s="3" t="s">
        <v>29</v>
      </c>
      <c r="D2380" s="4">
        <v>7513.2</v>
      </c>
      <c r="E2380" s="4">
        <v>1466</v>
      </c>
      <c r="F2380" s="8">
        <v>0.8</v>
      </c>
      <c r="H2380" s="11"/>
      <c r="I2380" s="11"/>
      <c r="J2380" s="11"/>
    </row>
    <row r="2381" spans="1:10" ht="15.75" x14ac:dyDescent="0.3">
      <c r="A2381" s="13" t="str">
        <f>HYPERLINK("https://parts-sales.ru/parts/MAN/81323020034","81.32302-0034")</f>
        <v>81.32302-0034</v>
      </c>
      <c r="B2381" s="13" t="str">
        <f>HYPERLINK("https://parts-sales.ru/parts/MAN/81323020034","Шестерня")</f>
        <v>Шестерня</v>
      </c>
      <c r="C2381" s="5" t="s">
        <v>29</v>
      </c>
      <c r="D2381" s="6">
        <v>39634.339999999997</v>
      </c>
      <c r="E2381" s="6">
        <v>18496</v>
      </c>
      <c r="F2381" s="9">
        <v>0.53</v>
      </c>
      <c r="H2381" s="11"/>
      <c r="I2381" s="11"/>
      <c r="J2381" s="11"/>
    </row>
    <row r="2382" spans="1:10" ht="15.75" x14ac:dyDescent="0.3">
      <c r="A2382" s="12" t="str">
        <f>HYPERLINK("https://parts-sales.ru/parts/MAN/81323020059","81.32302-0059")</f>
        <v>81.32302-0059</v>
      </c>
      <c r="B2382" s="12" t="str">
        <f>HYPERLINK("https://parts-sales.ru/parts/MAN/81323020059","Шестерня")</f>
        <v>Шестерня</v>
      </c>
      <c r="C2382" s="3" t="s">
        <v>29</v>
      </c>
      <c r="D2382" s="4">
        <v>92550</v>
      </c>
      <c r="E2382" s="4">
        <v>18597</v>
      </c>
      <c r="F2382" s="8">
        <v>0.8</v>
      </c>
      <c r="H2382" s="11"/>
      <c r="I2382" s="11"/>
      <c r="J2382" s="11"/>
    </row>
    <row r="2383" spans="1:10" ht="15.75" x14ac:dyDescent="0.3">
      <c r="A2383" s="13" t="str">
        <f>HYPERLINK("https://parts-sales.ru/parts/MAN/81323020071","81.32302-0071")</f>
        <v>81.32302-0071</v>
      </c>
      <c r="B2383" s="13" t="str">
        <f>HYPERLINK("https://parts-sales.ru/parts/MAN/81323020071","Шестерня 2G/Z38")</f>
        <v>Шестерня 2G/Z38</v>
      </c>
      <c r="C2383" s="5" t="s">
        <v>29</v>
      </c>
      <c r="D2383" s="6">
        <v>99445.2</v>
      </c>
      <c r="E2383" s="6">
        <v>20275</v>
      </c>
      <c r="F2383" s="9">
        <v>0.8</v>
      </c>
      <c r="H2383" s="11"/>
      <c r="I2383" s="11"/>
      <c r="J2383" s="11"/>
    </row>
    <row r="2384" spans="1:10" ht="15.75" x14ac:dyDescent="0.3">
      <c r="A2384" s="12" t="str">
        <f>HYPERLINK("https://parts-sales.ru/parts/MAN/81323020233","81.32302-0233")</f>
        <v>81.32302-0233</v>
      </c>
      <c r="B2384" s="12" t="str">
        <f>HYPERLINK("https://parts-sales.ru/parts/MAN/81323020233","Шестерня RG.Z44")</f>
        <v>Шестерня RG.Z44</v>
      </c>
      <c r="C2384" s="3" t="s">
        <v>29</v>
      </c>
      <c r="D2384" s="4">
        <v>92550</v>
      </c>
      <c r="E2384" s="4">
        <v>21200</v>
      </c>
      <c r="F2384" s="8">
        <v>0.77</v>
      </c>
      <c r="H2384" s="11"/>
      <c r="I2384" s="11"/>
      <c r="J2384" s="11"/>
    </row>
    <row r="2385" spans="1:10" ht="15.75" x14ac:dyDescent="0.3">
      <c r="A2385" s="13" t="str">
        <f>HYPERLINK("https://parts-sales.ru/parts/MAN/81323020245","81.32302-0245")</f>
        <v>81.32302-0245</v>
      </c>
      <c r="B2385" s="13" t="str">
        <f>HYPERLINK("https://parts-sales.ru/parts/MAN/81323020245","Шестерня")</f>
        <v>Шестерня</v>
      </c>
      <c r="C2385" s="5" t="s">
        <v>29</v>
      </c>
      <c r="D2385" s="6">
        <v>121572</v>
      </c>
      <c r="E2385" s="6">
        <v>32688</v>
      </c>
      <c r="F2385" s="9">
        <v>0.73</v>
      </c>
      <c r="H2385" s="11"/>
      <c r="I2385" s="11"/>
      <c r="J2385" s="11"/>
    </row>
    <row r="2386" spans="1:10" ht="15.75" x14ac:dyDescent="0.3">
      <c r="A2386" s="12" t="str">
        <f>HYPERLINK("https://parts-sales.ru/parts/MAN/81323020260","81.32302-0260")</f>
        <v>81.32302-0260</v>
      </c>
      <c r="B2386" s="12" t="str">
        <f>HYPERLINK("https://parts-sales.ru/parts/MAN/81323020260","Зубчатое колесо")</f>
        <v>Зубчатое колесо</v>
      </c>
      <c r="C2386" s="3" t="s">
        <v>29</v>
      </c>
      <c r="D2386" s="4">
        <v>72267.41</v>
      </c>
      <c r="E2386" s="4">
        <v>33725</v>
      </c>
      <c r="F2386" s="8">
        <v>0.53</v>
      </c>
      <c r="H2386" s="11"/>
      <c r="I2386" s="11"/>
      <c r="J2386" s="11"/>
    </row>
    <row r="2387" spans="1:10" ht="15.75" x14ac:dyDescent="0.3">
      <c r="A2387" s="13" t="str">
        <f>HYPERLINK("https://parts-sales.ru/parts/MAN/81323120252","81.32312-0252")</f>
        <v>81.32312-0252</v>
      </c>
      <c r="B2387" s="13" t="str">
        <f>HYPERLINK("https://parts-sales.ru/parts/MAN/81323120252","Компенсационная шайба 139X159X0,3-F700")</f>
        <v>Компенсационная шайба 139X159X0,3-F700</v>
      </c>
      <c r="C2387" s="5" t="s">
        <v>29</v>
      </c>
      <c r="D2387" s="6">
        <v>2776.8</v>
      </c>
      <c r="E2387" s="6">
        <v>606</v>
      </c>
      <c r="F2387" s="9">
        <v>0.78</v>
      </c>
      <c r="H2387" s="11"/>
      <c r="I2387" s="11"/>
      <c r="J2387" s="11"/>
    </row>
    <row r="2388" spans="1:10" ht="15.75" x14ac:dyDescent="0.3">
      <c r="A2388" s="12" t="str">
        <f>HYPERLINK("https://parts-sales.ru/parts/MAN/81323120631","81.32312-0631")</f>
        <v>81.32312-0631</v>
      </c>
      <c r="B2388" s="12" t="str">
        <f>HYPERLINK("https://parts-sales.ru/parts/MAN/81323120631","Компенсационная шайба 100,2X119,8X1,7-ST")</f>
        <v>Компенсационная шайба 100,2X119,8X1,7-ST</v>
      </c>
      <c r="C2388" s="3" t="s">
        <v>29</v>
      </c>
      <c r="D2388" s="4">
        <v>3495.6</v>
      </c>
      <c r="E2388" s="4">
        <v>993</v>
      </c>
      <c r="F2388" s="8">
        <v>0.72</v>
      </c>
      <c r="H2388" s="11"/>
      <c r="I2388" s="11"/>
      <c r="J2388" s="11"/>
    </row>
    <row r="2389" spans="1:10" ht="15.75" x14ac:dyDescent="0.3">
      <c r="A2389" s="13" t="str">
        <f>HYPERLINK("https://parts-sales.ru/parts/MAN/81323120633","81.32312-0633")</f>
        <v>81.32312-0633</v>
      </c>
      <c r="B2389" s="13" t="str">
        <f>HYPERLINK("https://parts-sales.ru/parts/MAN/81323120633","Компенсационная шайба 139X159X0,2-F700")</f>
        <v>Компенсационная шайба 139X159X0,2-F700</v>
      </c>
      <c r="C2389" s="5" t="s">
        <v>29</v>
      </c>
      <c r="D2389" s="6">
        <v>2776.8</v>
      </c>
      <c r="E2389" s="6">
        <v>558</v>
      </c>
      <c r="F2389" s="9">
        <v>0.8</v>
      </c>
      <c r="H2389" s="11"/>
      <c r="I2389" s="11"/>
      <c r="J2389" s="11"/>
    </row>
    <row r="2390" spans="1:10" ht="15.75" x14ac:dyDescent="0.3">
      <c r="A2390" s="12" t="str">
        <f>HYPERLINK("https://parts-sales.ru/parts/MAN/81323130098","81.32313-0098")</f>
        <v>81.32313-0098</v>
      </c>
      <c r="B2390" s="12" t="str">
        <f>HYPERLINK("https://parts-sales.ru/parts/MAN/81323130098","Компенсационная шайба 125,1X148,8X0,9-C4")</f>
        <v>Компенсационная шайба 125,1X148,8X0,9-C4</v>
      </c>
      <c r="C2390" s="3" t="s">
        <v>29</v>
      </c>
      <c r="D2390" s="4">
        <v>6168</v>
      </c>
      <c r="E2390" s="4">
        <v>1203</v>
      </c>
      <c r="F2390" s="8">
        <v>0.8</v>
      </c>
      <c r="H2390" s="11"/>
      <c r="I2390" s="11"/>
      <c r="J2390" s="11"/>
    </row>
    <row r="2391" spans="1:10" ht="15.75" x14ac:dyDescent="0.3">
      <c r="A2391" s="13" t="str">
        <f>HYPERLINK("https://parts-sales.ru/parts/MAN/81323130099","81.32313-0099")</f>
        <v>81.32313-0099</v>
      </c>
      <c r="B2391" s="13" t="str">
        <f>HYPERLINK("https://parts-sales.ru/parts/MAN/81323130099","Компенсационная шайба 125,1X148,8X0,85-C")</f>
        <v>Компенсационная шайба 125,1X148,8X0,85-C</v>
      </c>
      <c r="C2391" s="5" t="s">
        <v>29</v>
      </c>
      <c r="D2391" s="6">
        <v>3903.6</v>
      </c>
      <c r="E2391" s="6">
        <v>895</v>
      </c>
      <c r="F2391" s="9">
        <v>0.77</v>
      </c>
      <c r="H2391" s="11"/>
      <c r="I2391" s="11"/>
      <c r="J2391" s="11"/>
    </row>
    <row r="2392" spans="1:10" ht="15.75" x14ac:dyDescent="0.3">
      <c r="A2392" s="12" t="str">
        <f>HYPERLINK("https://parts-sales.ru/parts/MAN/81323130174","81.32313-0174")</f>
        <v>81.32313-0174</v>
      </c>
      <c r="B2392" s="12" t="str">
        <f>HYPERLINK("https://parts-sales.ru/parts/MAN/81323130174","Компенсационная шайба 87X102,7X1,85-CK60")</f>
        <v>Компенсационная шайба 87X102,7X1,85-CK60</v>
      </c>
      <c r="C2392" s="3" t="s">
        <v>29</v>
      </c>
      <c r="D2392" s="4">
        <v>5620.8</v>
      </c>
      <c r="E2392" s="4">
        <v>1063</v>
      </c>
      <c r="F2392" s="8">
        <v>0.81</v>
      </c>
      <c r="H2392" s="11"/>
      <c r="I2392" s="11"/>
      <c r="J2392" s="11"/>
    </row>
    <row r="2393" spans="1:10" ht="15.75" x14ac:dyDescent="0.3">
      <c r="A2393" s="13" t="str">
        <f>HYPERLINK("https://parts-sales.ru/parts/MAN/81323130175","81.32313-0175")</f>
        <v>81.32313-0175</v>
      </c>
      <c r="B2393" s="13" t="str">
        <f>HYPERLINK("https://parts-sales.ru/parts/MAN/81323130175","Компенсационная шайба 87X102,7X1,9-CK60-")</f>
        <v>Компенсационная шайба 87X102,7X1,9-CK60-</v>
      </c>
      <c r="C2393" s="5" t="s">
        <v>29</v>
      </c>
      <c r="D2393" s="6">
        <v>5620.8</v>
      </c>
      <c r="E2393" s="6">
        <v>1131</v>
      </c>
      <c r="F2393" s="9">
        <v>0.8</v>
      </c>
      <c r="H2393" s="11"/>
      <c r="I2393" s="11"/>
      <c r="J2393" s="11"/>
    </row>
    <row r="2394" spans="1:10" ht="15.75" x14ac:dyDescent="0.3">
      <c r="A2394" s="12" t="str">
        <f>HYPERLINK("https://parts-sales.ru/parts/MAN/81323130176","81.32313-0176")</f>
        <v>81.32313-0176</v>
      </c>
      <c r="B2394" s="12" t="str">
        <f>HYPERLINK("https://parts-sales.ru/parts/MAN/81323130176","Компенсационная шайба 87X102,7X1,95-CK60")</f>
        <v>Компенсационная шайба 87X102,7X1,95-CK60</v>
      </c>
      <c r="C2394" s="3" t="s">
        <v>29</v>
      </c>
      <c r="D2394" s="4">
        <v>5504.4</v>
      </c>
      <c r="E2394" s="4">
        <v>1112</v>
      </c>
      <c r="F2394" s="8">
        <v>0.8</v>
      </c>
      <c r="H2394" s="11"/>
      <c r="I2394" s="11"/>
      <c r="J2394" s="11"/>
    </row>
    <row r="2395" spans="1:10" ht="15.75" x14ac:dyDescent="0.3">
      <c r="A2395" s="13" t="str">
        <f>HYPERLINK("https://parts-sales.ru/parts/MAN/81323130178","81.32313-0178")</f>
        <v>81.32313-0178</v>
      </c>
      <c r="B2395" s="13" t="str">
        <f>HYPERLINK("https://parts-sales.ru/parts/MAN/81323130178","Компенсационная шайба 87X102,7X2,05-CK60")</f>
        <v>Компенсационная шайба 87X102,7X2,05-CK60</v>
      </c>
      <c r="C2395" s="5" t="s">
        <v>29</v>
      </c>
      <c r="D2395" s="6">
        <v>16350</v>
      </c>
      <c r="E2395" s="6">
        <v>746</v>
      </c>
      <c r="F2395" s="9">
        <v>0.95</v>
      </c>
      <c r="H2395" s="11"/>
      <c r="I2395" s="11"/>
      <c r="J2395" s="11"/>
    </row>
    <row r="2396" spans="1:10" ht="15.75" x14ac:dyDescent="0.3">
      <c r="A2396" s="12" t="str">
        <f>HYPERLINK("https://parts-sales.ru/parts/MAN/81323130180","81.32313-0180")</f>
        <v>81.32313-0180</v>
      </c>
      <c r="B2396" s="12" t="str">
        <f>HYPERLINK("https://parts-sales.ru/parts/MAN/81323130180","Компенсационная шайба 87X102,7X2,15-CK60")</f>
        <v>Компенсационная шайба 87X102,7X2,15-CK60</v>
      </c>
      <c r="C2396" s="3" t="s">
        <v>29</v>
      </c>
      <c r="D2396" s="4">
        <v>6168</v>
      </c>
      <c r="E2396" s="4">
        <v>1486</v>
      </c>
      <c r="F2396" s="8">
        <v>0.76</v>
      </c>
      <c r="H2396" s="11"/>
      <c r="I2396" s="11"/>
      <c r="J2396" s="11"/>
    </row>
    <row r="2397" spans="1:10" ht="15.75" x14ac:dyDescent="0.3">
      <c r="A2397" s="13" t="str">
        <f>HYPERLINK("https://parts-sales.ru/parts/MAN/81323130182","81.32313-0182")</f>
        <v>81.32313-0182</v>
      </c>
      <c r="B2397" s="13" t="str">
        <f>HYPERLINK("https://parts-sales.ru/parts/MAN/81323130182","Компенсационная шайба 87X102,7X2,25-CK60")</f>
        <v>Компенсационная шайба 87X102,7X2,25-CK60</v>
      </c>
      <c r="C2397" s="5" t="s">
        <v>29</v>
      </c>
      <c r="D2397" s="6">
        <v>5620.8</v>
      </c>
      <c r="E2397" s="6">
        <v>1133</v>
      </c>
      <c r="F2397" s="9">
        <v>0.8</v>
      </c>
      <c r="H2397" s="11"/>
      <c r="I2397" s="11"/>
      <c r="J2397" s="11"/>
    </row>
    <row r="2398" spans="1:10" ht="15.75" x14ac:dyDescent="0.3">
      <c r="A2398" s="12" t="str">
        <f>HYPERLINK("https://parts-sales.ru/parts/MAN/81323130184","81.32313-0184")</f>
        <v>81.32313-0184</v>
      </c>
      <c r="B2398" s="12" t="str">
        <f>HYPERLINK("https://parts-sales.ru/parts/MAN/81323130184","Компенсационная шайба 87X102,7X2,35-CK60")</f>
        <v>Компенсационная шайба 87X102,7X2,35-CK60</v>
      </c>
      <c r="C2398" s="3" t="s">
        <v>29</v>
      </c>
      <c r="D2398" s="4">
        <v>6168</v>
      </c>
      <c r="E2398" s="4">
        <v>1367</v>
      </c>
      <c r="F2398" s="8">
        <v>0.78</v>
      </c>
      <c r="H2398" s="11"/>
      <c r="I2398" s="11"/>
      <c r="J2398" s="11"/>
    </row>
    <row r="2399" spans="1:10" ht="15.75" x14ac:dyDescent="0.3">
      <c r="A2399" s="13" t="str">
        <f>HYPERLINK("https://parts-sales.ru/parts/MAN/81323130186","81.32313-0186")</f>
        <v>81.32313-0186</v>
      </c>
      <c r="B2399" s="13" t="str">
        <f>HYPERLINK("https://parts-sales.ru/parts/MAN/81323130186","Компенсационная шайба 87X102,7X2,45-CK60")</f>
        <v>Компенсационная шайба 87X102,7X2,45-CK60</v>
      </c>
      <c r="C2399" s="5" t="s">
        <v>29</v>
      </c>
      <c r="D2399" s="6">
        <v>6168</v>
      </c>
      <c r="E2399" s="6">
        <v>1362</v>
      </c>
      <c r="F2399" s="9">
        <v>0.78</v>
      </c>
      <c r="H2399" s="11"/>
      <c r="I2399" s="11"/>
      <c r="J2399" s="11"/>
    </row>
    <row r="2400" spans="1:10" ht="15.75" x14ac:dyDescent="0.3">
      <c r="A2400" s="12" t="str">
        <f>HYPERLINK("https://parts-sales.ru/parts/MAN/81323130188","81.32313-0188")</f>
        <v>81.32313-0188</v>
      </c>
      <c r="B2400" s="12" t="str">
        <f>HYPERLINK("https://parts-sales.ru/parts/MAN/81323130188","Компенсационная шайба 87X102,7X2,55-CK60")</f>
        <v>Компенсационная шайба 87X102,7X2,55-CK60</v>
      </c>
      <c r="C2400" s="3" t="s">
        <v>29</v>
      </c>
      <c r="D2400" s="4">
        <v>5504.4</v>
      </c>
      <c r="E2400" s="4">
        <v>1276</v>
      </c>
      <c r="F2400" s="8">
        <v>0.77</v>
      </c>
      <c r="H2400" s="11"/>
      <c r="I2400" s="11"/>
      <c r="J2400" s="11"/>
    </row>
    <row r="2401" spans="1:10" ht="15.75" x14ac:dyDescent="0.3">
      <c r="A2401" s="13" t="str">
        <f>HYPERLINK("https://parts-sales.ru/parts/MAN/81323130190","81.32313-0190")</f>
        <v>81.32313-0190</v>
      </c>
      <c r="B2401" s="13" t="str">
        <f>HYPERLINK("https://parts-sales.ru/parts/MAN/81323130190","Компенсационная шайба 87X102,7X2,65-CK60")</f>
        <v>Компенсационная шайба 87X102,7X2,65-CK60</v>
      </c>
      <c r="C2401" s="5" t="s">
        <v>29</v>
      </c>
      <c r="D2401" s="6">
        <v>6168</v>
      </c>
      <c r="E2401" s="6">
        <v>1238</v>
      </c>
      <c r="F2401" s="9">
        <v>0.8</v>
      </c>
      <c r="H2401" s="11"/>
      <c r="I2401" s="11"/>
      <c r="J2401" s="11"/>
    </row>
    <row r="2402" spans="1:10" ht="15.75" x14ac:dyDescent="0.3">
      <c r="A2402" s="12" t="str">
        <f>HYPERLINK("https://parts-sales.ru/parts/MAN/81323130191","81.32313-0191")</f>
        <v>81.32313-0191</v>
      </c>
      <c r="B2402" s="12" t="str">
        <f>HYPERLINK("https://parts-sales.ru/parts/MAN/81323130191","Компенсационная шайба 87X102,7X2,7-CK60-")</f>
        <v>Компенсационная шайба 87X102,7X2,7-CK60-</v>
      </c>
      <c r="C2402" s="3" t="s">
        <v>29</v>
      </c>
      <c r="D2402" s="4">
        <v>5700</v>
      </c>
      <c r="E2402" s="4">
        <v>1654</v>
      </c>
      <c r="F2402" s="8">
        <v>0.71</v>
      </c>
      <c r="H2402" s="11"/>
      <c r="I2402" s="11"/>
      <c r="J2402" s="11"/>
    </row>
    <row r="2403" spans="1:10" ht="15.75" x14ac:dyDescent="0.3">
      <c r="A2403" s="13" t="str">
        <f>HYPERLINK("https://parts-sales.ru/parts/MAN/81323130192","81.32313-0192")</f>
        <v>81.32313-0192</v>
      </c>
      <c r="B2403" s="13" t="str">
        <f>HYPERLINK("https://parts-sales.ru/parts/MAN/81323130192","Компенсационная шайба 87X102,7X2,75-CK60")</f>
        <v>Компенсационная шайба 87X102,7X2,75-CK60</v>
      </c>
      <c r="C2403" s="5" t="s">
        <v>29</v>
      </c>
      <c r="D2403" s="6">
        <v>5504.4</v>
      </c>
      <c r="E2403" s="6">
        <v>1103</v>
      </c>
      <c r="F2403" s="9">
        <v>0.8</v>
      </c>
      <c r="H2403" s="11"/>
      <c r="I2403" s="11"/>
      <c r="J2403" s="11"/>
    </row>
    <row r="2404" spans="1:10" ht="15.75" x14ac:dyDescent="0.3">
      <c r="A2404" s="12" t="str">
        <f>HYPERLINK("https://parts-sales.ru/parts/MAN/81323130193","81.32313-0193")</f>
        <v>81.32313-0193</v>
      </c>
      <c r="B2404" s="12" t="str">
        <f>HYPERLINK("https://parts-sales.ru/parts/MAN/81323130193","Компенсационная шайба 87X102,7X2,8-CK60-")</f>
        <v>Компенсационная шайба 87X102,7X2,8-CK60-</v>
      </c>
      <c r="C2404" s="3" t="s">
        <v>29</v>
      </c>
      <c r="D2404" s="4">
        <v>5620.8</v>
      </c>
      <c r="E2404" s="4">
        <v>1144</v>
      </c>
      <c r="F2404" s="8">
        <v>0.8</v>
      </c>
      <c r="H2404" s="11"/>
      <c r="I2404" s="11"/>
      <c r="J2404" s="11"/>
    </row>
    <row r="2405" spans="1:10" ht="15.75" x14ac:dyDescent="0.3">
      <c r="A2405" s="13" t="str">
        <f>HYPERLINK("https://parts-sales.ru/parts/MAN/81323130194","81.32313-0194")</f>
        <v>81.32313-0194</v>
      </c>
      <c r="B2405" s="13" t="str">
        <f>HYPERLINK("https://parts-sales.ru/parts/MAN/81323130194","Компенсационная шайба 87X102,7X2,85-CK60")</f>
        <v>Компенсационная шайба 87X102,7X2,85-CK60</v>
      </c>
      <c r="C2405" s="5" t="s">
        <v>29</v>
      </c>
      <c r="D2405" s="6">
        <v>7939.2</v>
      </c>
      <c r="E2405" s="6">
        <v>2392</v>
      </c>
      <c r="F2405" s="9">
        <v>0.7</v>
      </c>
      <c r="H2405" s="11"/>
      <c r="I2405" s="11"/>
      <c r="J2405" s="11"/>
    </row>
    <row r="2406" spans="1:10" ht="15.75" x14ac:dyDescent="0.3">
      <c r="A2406" s="12" t="str">
        <f>HYPERLINK("https://parts-sales.ru/parts/MAN/81323130196","81.32313-0196")</f>
        <v>81.32313-0196</v>
      </c>
      <c r="B2406" s="12" t="str">
        <f>HYPERLINK("https://parts-sales.ru/parts/MAN/81323130196","Компенсационная шайба 87X102,7X2,95-CK60")</f>
        <v>Компенсационная шайба 87X102,7X2,95-CK60</v>
      </c>
      <c r="C2406" s="3" t="s">
        <v>29</v>
      </c>
      <c r="D2406" s="4">
        <v>7939.2</v>
      </c>
      <c r="E2406" s="4">
        <v>2058</v>
      </c>
      <c r="F2406" s="8">
        <v>0.74</v>
      </c>
      <c r="H2406" s="11"/>
      <c r="I2406" s="11"/>
      <c r="J2406" s="11"/>
    </row>
    <row r="2407" spans="1:10" ht="15.75" x14ac:dyDescent="0.3">
      <c r="A2407" s="13" t="str">
        <f>HYPERLINK("https://parts-sales.ru/parts/MAN/81323130226","81.32313-0226")</f>
        <v>81.32313-0226</v>
      </c>
      <c r="B2407" s="13" t="str">
        <f>HYPERLINK("https://parts-sales.ru/parts/MAN/81323130226","Компенсационная шайба 125,1X148,8X1,45-C")</f>
        <v>Компенсационная шайба 125,1X148,8X1,45-C</v>
      </c>
      <c r="C2407" s="5" t="s">
        <v>29</v>
      </c>
      <c r="D2407" s="6">
        <v>4911.6000000000004</v>
      </c>
      <c r="E2407" s="6">
        <v>1530</v>
      </c>
      <c r="F2407" s="9">
        <v>0.69</v>
      </c>
      <c r="H2407" s="11"/>
      <c r="I2407" s="11"/>
      <c r="J2407" s="11"/>
    </row>
    <row r="2408" spans="1:10" ht="15.75" x14ac:dyDescent="0.3">
      <c r="A2408" s="12" t="str">
        <f>HYPERLINK("https://parts-sales.ru/parts/MAN/81323130227","81.32313-0227")</f>
        <v>81.32313-0227</v>
      </c>
      <c r="B2408" s="12" t="str">
        <f>HYPERLINK("https://parts-sales.ru/parts/MAN/81323130227","Компенсационная шайба 125,1X148,8X1,5-C4")</f>
        <v>Компенсационная шайба 125,1X148,8X1,5-C4</v>
      </c>
      <c r="C2408" s="3" t="s">
        <v>29</v>
      </c>
      <c r="D2408" s="4">
        <v>4911.6000000000004</v>
      </c>
      <c r="E2408" s="4">
        <v>1251</v>
      </c>
      <c r="F2408" s="8">
        <v>0.75</v>
      </c>
      <c r="H2408" s="11"/>
      <c r="I2408" s="11"/>
      <c r="J2408" s="11"/>
    </row>
    <row r="2409" spans="1:10" ht="15.75" x14ac:dyDescent="0.3">
      <c r="A2409" s="13" t="str">
        <f>HYPERLINK("https://parts-sales.ru/parts/MAN/81323130228","81.32313-0228")</f>
        <v>81.32313-0228</v>
      </c>
      <c r="B2409" s="13" t="str">
        <f>HYPERLINK("https://parts-sales.ru/parts/MAN/81323130228","Компенсационная шайба 125,1X148,8X1,55-C")</f>
        <v>Компенсационная шайба 125,1X148,8X1,55-C</v>
      </c>
      <c r="C2409" s="5" t="s">
        <v>29</v>
      </c>
      <c r="D2409" s="6">
        <v>5149.37</v>
      </c>
      <c r="E2409" s="6">
        <v>2151</v>
      </c>
      <c r="F2409" s="9">
        <v>0.57999999999999996</v>
      </c>
      <c r="H2409" s="11"/>
      <c r="I2409" s="11"/>
      <c r="J2409" s="11"/>
    </row>
    <row r="2410" spans="1:10" ht="15.75" x14ac:dyDescent="0.3">
      <c r="A2410" s="12" t="str">
        <f>HYPERLINK("https://parts-sales.ru/parts/MAN/81323130229","81.32313-0229")</f>
        <v>81.32313-0229</v>
      </c>
      <c r="B2410" s="12" t="str">
        <f>HYPERLINK("https://parts-sales.ru/parts/MAN/81323130229","Компенсационная шайба 125,1X148,8X1,6-C4")</f>
        <v>Компенсационная шайба 125,1X148,8X1,6-C4</v>
      </c>
      <c r="C2410" s="3" t="s">
        <v>29</v>
      </c>
      <c r="D2410" s="4">
        <v>5700</v>
      </c>
      <c r="E2410" s="4">
        <v>1149</v>
      </c>
      <c r="F2410" s="8">
        <v>0.8</v>
      </c>
      <c r="H2410" s="11"/>
      <c r="I2410" s="11"/>
      <c r="J2410" s="11"/>
    </row>
    <row r="2411" spans="1:10" ht="15.75" x14ac:dyDescent="0.3">
      <c r="A2411" s="13" t="str">
        <f>HYPERLINK("https://parts-sales.ru/parts/MAN/81323130281","81.32313-0281")</f>
        <v>81.32313-0281</v>
      </c>
      <c r="B2411" s="13" t="str">
        <f>HYPERLINK("https://parts-sales.ru/parts/MAN/81323130281","Компенсационная шайба 125,1X148,8X1,65-C")</f>
        <v>Компенсационная шайба 125,1X148,8X1,65-C</v>
      </c>
      <c r="C2411" s="5" t="s">
        <v>29</v>
      </c>
      <c r="D2411" s="6">
        <v>4911.6000000000004</v>
      </c>
      <c r="E2411" s="6">
        <v>793</v>
      </c>
      <c r="F2411" s="9">
        <v>0.84</v>
      </c>
      <c r="H2411" s="11"/>
      <c r="I2411" s="11"/>
      <c r="J2411" s="11"/>
    </row>
    <row r="2412" spans="1:10" ht="15.75" x14ac:dyDescent="0.3">
      <c r="A2412" s="12" t="str">
        <f>HYPERLINK("https://parts-sales.ru/parts/MAN/81323130288","81.32313-0288")</f>
        <v>81.32313-0288</v>
      </c>
      <c r="B2412" s="12" t="str">
        <f>HYPERLINK("https://parts-sales.ru/parts/MAN/81323130288","Компенсационная шайба 125,1X148,8X2,0-C4")</f>
        <v>Компенсационная шайба 125,1X148,8X2,0-C4</v>
      </c>
      <c r="C2412" s="3" t="s">
        <v>29</v>
      </c>
      <c r="D2412" s="4">
        <v>5684.4</v>
      </c>
      <c r="E2412" s="4">
        <v>962</v>
      </c>
      <c r="F2412" s="8">
        <v>0.83</v>
      </c>
      <c r="H2412" s="11"/>
      <c r="I2412" s="11"/>
      <c r="J2412" s="11"/>
    </row>
    <row r="2413" spans="1:10" ht="15.75" x14ac:dyDescent="0.3">
      <c r="A2413" s="13" t="str">
        <f>HYPERLINK("https://parts-sales.ru/parts/MAN/81323130301","81.32313-0301")</f>
        <v>81.32313-0301</v>
      </c>
      <c r="B2413" s="13" t="str">
        <f>HYPERLINK("https://parts-sales.ru/parts/MAN/81323130301","Осевая шайба 7,80")</f>
        <v>Осевая шайба 7,80</v>
      </c>
      <c r="C2413" s="5" t="s">
        <v>29</v>
      </c>
      <c r="D2413" s="6">
        <v>4282.8</v>
      </c>
      <c r="E2413" s="6">
        <v>861</v>
      </c>
      <c r="F2413" s="9">
        <v>0.8</v>
      </c>
      <c r="H2413" s="11"/>
      <c r="I2413" s="11"/>
      <c r="J2413" s="11"/>
    </row>
    <row r="2414" spans="1:10" ht="15.75" x14ac:dyDescent="0.3">
      <c r="A2414" s="12" t="str">
        <f>HYPERLINK("https://parts-sales.ru/parts/MAN/81323130302","81.32313-0302")</f>
        <v>81.32313-0302</v>
      </c>
      <c r="B2414" s="12" t="str">
        <f>HYPERLINK("https://parts-sales.ru/parts/MAN/81323130302","Осевая шайба 8,00")</f>
        <v>Осевая шайба 8,00</v>
      </c>
      <c r="C2414" s="3" t="s">
        <v>29</v>
      </c>
      <c r="D2414" s="4">
        <v>4716</v>
      </c>
      <c r="E2414" s="4">
        <v>988</v>
      </c>
      <c r="F2414" s="8">
        <v>0.79</v>
      </c>
      <c r="H2414" s="11"/>
      <c r="I2414" s="11"/>
      <c r="J2414" s="11"/>
    </row>
    <row r="2415" spans="1:10" ht="15.75" x14ac:dyDescent="0.3">
      <c r="A2415" s="13" t="str">
        <f>HYPERLINK("https://parts-sales.ru/parts/MAN/81323130303","81.32313-0303")</f>
        <v>81.32313-0303</v>
      </c>
      <c r="B2415" s="13" t="str">
        <f>HYPERLINK("https://parts-sales.ru/parts/MAN/81323130303","Осевая шайба 7,40")</f>
        <v>Осевая шайба 7,40</v>
      </c>
      <c r="C2415" s="5" t="s">
        <v>29</v>
      </c>
      <c r="D2415" s="6">
        <v>6207.6</v>
      </c>
      <c r="E2415" s="6">
        <v>1325</v>
      </c>
      <c r="F2415" s="9">
        <v>0.79</v>
      </c>
      <c r="H2415" s="11"/>
      <c r="I2415" s="11"/>
      <c r="J2415" s="11"/>
    </row>
    <row r="2416" spans="1:10" ht="15.75" x14ac:dyDescent="0.3">
      <c r="A2416" s="12" t="str">
        <f>HYPERLINK("https://parts-sales.ru/parts/MAN/81323130304","81.32313-0304")</f>
        <v>81.32313-0304</v>
      </c>
      <c r="B2416" s="12" t="str">
        <f>HYPERLINK("https://parts-sales.ru/parts/MAN/81323130304","Осевая шайба 7,30")</f>
        <v>Осевая шайба 7,30</v>
      </c>
      <c r="C2416" s="3" t="s">
        <v>29</v>
      </c>
      <c r="D2416" s="4">
        <v>5199.6000000000004</v>
      </c>
      <c r="E2416" s="4">
        <v>904</v>
      </c>
      <c r="F2416" s="8">
        <v>0.83</v>
      </c>
      <c r="H2416" s="11"/>
      <c r="I2416" s="11"/>
      <c r="J2416" s="11"/>
    </row>
    <row r="2417" spans="1:10" ht="15.75" x14ac:dyDescent="0.3">
      <c r="A2417" s="13" t="str">
        <f>HYPERLINK("https://parts-sales.ru/parts/MAN/81323130372","81.32313-0372")</f>
        <v>81.32313-0372</v>
      </c>
      <c r="B2417" s="13" t="str">
        <f>HYPERLINK("https://parts-sales.ru/parts/MAN/81323130372","Компенсационная шайба 78X89,8X2,00-ST")</f>
        <v>Компенсационная шайба 78X89,8X2,00-ST</v>
      </c>
      <c r="C2417" s="5" t="s">
        <v>29</v>
      </c>
      <c r="D2417" s="6">
        <v>7339.2</v>
      </c>
      <c r="E2417" s="6">
        <v>1274</v>
      </c>
      <c r="F2417" s="9">
        <v>0.83</v>
      </c>
      <c r="H2417" s="11"/>
      <c r="I2417" s="11"/>
      <c r="J2417" s="11"/>
    </row>
    <row r="2418" spans="1:10" ht="15.75" x14ac:dyDescent="0.3">
      <c r="A2418" s="12" t="str">
        <f>HYPERLINK("https://parts-sales.ru/parts/MAN/81323130379","81.32313-0379")</f>
        <v>81.32313-0379</v>
      </c>
      <c r="B2418" s="12" t="str">
        <f>HYPERLINK("https://parts-sales.ru/parts/MAN/81323130379","Шайба 30,05X51,8X5,00")</f>
        <v>Шайба 30,05X51,8X5,00</v>
      </c>
      <c r="C2418" s="3" t="s">
        <v>29</v>
      </c>
      <c r="D2418" s="4">
        <v>5877.6</v>
      </c>
      <c r="E2418" s="4">
        <v>1108</v>
      </c>
      <c r="F2418" s="8">
        <v>0.81</v>
      </c>
      <c r="H2418" s="11"/>
      <c r="I2418" s="11"/>
      <c r="J2418" s="11"/>
    </row>
    <row r="2419" spans="1:10" ht="15.75" x14ac:dyDescent="0.3">
      <c r="A2419" s="13" t="str">
        <f>HYPERLINK("https://parts-sales.ru/parts/MAN/81323130446","81.32313-0446")</f>
        <v>81.32313-0446</v>
      </c>
      <c r="B2419" s="13" t="str">
        <f>HYPERLINK("https://parts-sales.ru/parts/MAN/81323130446","Шайба 7,05")</f>
        <v>Шайба 7,05</v>
      </c>
      <c r="C2419" s="5" t="s">
        <v>29</v>
      </c>
      <c r="D2419" s="6">
        <v>6284.4</v>
      </c>
      <c r="E2419" s="6">
        <v>1074</v>
      </c>
      <c r="F2419" s="9">
        <v>0.83</v>
      </c>
      <c r="H2419" s="11"/>
      <c r="I2419" s="11"/>
      <c r="J2419" s="11"/>
    </row>
    <row r="2420" spans="1:10" ht="15.75" x14ac:dyDescent="0.3">
      <c r="A2420" s="12" t="str">
        <f>HYPERLINK("https://parts-sales.ru/parts/MAN/81323130451","81.32313-0451")</f>
        <v>81.32313-0451</v>
      </c>
      <c r="B2420" s="12" t="str">
        <f>HYPERLINK("https://parts-sales.ru/parts/MAN/81323130451","Прижимная шайба")</f>
        <v>Прижимная шайба</v>
      </c>
      <c r="C2420" s="3" t="s">
        <v>29</v>
      </c>
      <c r="D2420" s="4">
        <v>28842</v>
      </c>
      <c r="E2420" s="4">
        <v>5900</v>
      </c>
      <c r="F2420" s="8">
        <v>0.8</v>
      </c>
      <c r="H2420" s="11"/>
      <c r="I2420" s="11"/>
      <c r="J2420" s="11"/>
    </row>
    <row r="2421" spans="1:10" ht="15.75" x14ac:dyDescent="0.3">
      <c r="A2421" s="13" t="str">
        <f>HYPERLINK("https://parts-sales.ru/parts/MAN/81323130524","81.32313-0524")</f>
        <v>81.32313-0524</v>
      </c>
      <c r="B2421" s="13" t="str">
        <f>HYPERLINK("https://parts-sales.ru/parts/MAN/81323130524","Предохранительная проволока")</f>
        <v>Предохранительная проволока</v>
      </c>
      <c r="C2421" s="5" t="s">
        <v>29</v>
      </c>
      <c r="D2421" s="6">
        <v>2247.6</v>
      </c>
      <c r="E2421" s="6">
        <v>509</v>
      </c>
      <c r="F2421" s="9">
        <v>0.77</v>
      </c>
      <c r="H2421" s="11"/>
      <c r="I2421" s="11"/>
      <c r="J2421" s="11"/>
    </row>
    <row r="2422" spans="1:10" ht="15.75" x14ac:dyDescent="0.3">
      <c r="A2422" s="12" t="str">
        <f>HYPERLINK("https://parts-sales.ru/parts/MAN/81323130540","81.32313-0540")</f>
        <v>81.32313-0540</v>
      </c>
      <c r="B2422" s="12" t="str">
        <f>HYPERLINK("https://parts-sales.ru/parts/MAN/81323130540","Стопорное кольцо")</f>
        <v>Стопорное кольцо</v>
      </c>
      <c r="C2422" s="3" t="s">
        <v>29</v>
      </c>
      <c r="D2422" s="4">
        <v>794.4</v>
      </c>
      <c r="E2422" s="4">
        <v>196</v>
      </c>
      <c r="F2422" s="8">
        <v>0.75</v>
      </c>
      <c r="H2422" s="11"/>
      <c r="I2422" s="11"/>
      <c r="J2422" s="11"/>
    </row>
    <row r="2423" spans="1:10" ht="15.75" x14ac:dyDescent="0.3">
      <c r="A2423" s="13" t="str">
        <f>HYPERLINK("https://parts-sales.ru/parts/MAN/81323190022","81.32319-0022")</f>
        <v>81.32319-0022</v>
      </c>
      <c r="B2423" s="13" t="str">
        <f>HYPERLINK("https://parts-sales.ru/parts/MAN/81323190022","Солнечное колесо")</f>
        <v>Солнечное колесо</v>
      </c>
      <c r="C2423" s="5" t="s">
        <v>29</v>
      </c>
      <c r="D2423" s="6">
        <v>66513.600000000006</v>
      </c>
      <c r="E2423" s="6">
        <v>16467</v>
      </c>
      <c r="F2423" s="9">
        <v>0.75</v>
      </c>
      <c r="H2423" s="11"/>
      <c r="I2423" s="11"/>
      <c r="J2423" s="11"/>
    </row>
    <row r="2424" spans="1:10" ht="15.75" x14ac:dyDescent="0.3">
      <c r="A2424" s="12" t="str">
        <f>HYPERLINK("https://parts-sales.ru/parts/MAN/81323199009","81.32319-9009")</f>
        <v>81.32319-9009</v>
      </c>
      <c r="B2424" s="12" t="str">
        <f>HYPERLINK("https://parts-sales.ru/parts/MAN/81323199009","Планетраная передача")</f>
        <v>Планетраная передача</v>
      </c>
      <c r="C2424" s="3" t="s">
        <v>29</v>
      </c>
      <c r="D2424" s="4">
        <v>352703.69</v>
      </c>
      <c r="E2424" s="4">
        <v>149392</v>
      </c>
      <c r="F2424" s="8">
        <v>0.57999999999999996</v>
      </c>
      <c r="H2424" s="11"/>
      <c r="I2424" s="11"/>
      <c r="J2424" s="11"/>
    </row>
    <row r="2425" spans="1:10" ht="15.75" x14ac:dyDescent="0.3">
      <c r="A2425" s="13" t="str">
        <f>HYPERLINK("https://parts-sales.ru/parts/MAN/81324020211","81.32402-0211")</f>
        <v>81.32402-0211</v>
      </c>
      <c r="B2425" s="13" t="str">
        <f>HYPERLINK("https://parts-sales.ru/parts/MAN/81324020211","Подвижная втулка")</f>
        <v>Подвижная втулка</v>
      </c>
      <c r="C2425" s="5" t="s">
        <v>29</v>
      </c>
      <c r="D2425" s="6">
        <v>26978.400000000001</v>
      </c>
      <c r="E2425" s="6">
        <v>4361</v>
      </c>
      <c r="F2425" s="9">
        <v>0.84</v>
      </c>
      <c r="H2425" s="11"/>
      <c r="I2425" s="11"/>
      <c r="J2425" s="11"/>
    </row>
    <row r="2426" spans="1:10" ht="15.75" x14ac:dyDescent="0.3">
      <c r="A2426" s="12" t="str">
        <f>HYPERLINK("https://parts-sales.ru/parts/MAN/81324020214","81.32402-0214")</f>
        <v>81.32402-0214</v>
      </c>
      <c r="B2426" s="12" t="str">
        <f>HYPERLINK("https://parts-sales.ru/parts/MAN/81324020214","Подвижная втулка")</f>
        <v>Подвижная втулка</v>
      </c>
      <c r="C2426" s="3" t="s">
        <v>29</v>
      </c>
      <c r="D2426" s="4">
        <v>64982.400000000001</v>
      </c>
      <c r="E2426" s="4">
        <v>15217</v>
      </c>
      <c r="F2426" s="8">
        <v>0.77</v>
      </c>
      <c r="H2426" s="11"/>
      <c r="I2426" s="11"/>
      <c r="J2426" s="11"/>
    </row>
    <row r="2427" spans="1:10" ht="15.75" x14ac:dyDescent="0.3">
      <c r="A2427" s="13" t="str">
        <f>HYPERLINK("https://parts-sales.ru/parts/MAN/81324020228","81.32402-0228")</f>
        <v>81.32402-0228</v>
      </c>
      <c r="B2427" s="13" t="str">
        <f>HYPERLINK("https://parts-sales.ru/parts/MAN/81324020228","Подвижная втулка")</f>
        <v>Подвижная втулка</v>
      </c>
      <c r="C2427" s="5" t="s">
        <v>29</v>
      </c>
      <c r="D2427" s="6">
        <v>35250</v>
      </c>
      <c r="E2427" s="6">
        <v>8843</v>
      </c>
      <c r="F2427" s="9">
        <v>0.75</v>
      </c>
      <c r="H2427" s="11"/>
      <c r="I2427" s="11"/>
      <c r="J2427" s="11"/>
    </row>
    <row r="2428" spans="1:10" ht="15.75" x14ac:dyDescent="0.3">
      <c r="A2428" s="12" t="str">
        <f>HYPERLINK("https://parts-sales.ru/parts/MAN/81324020236","81.32402-0236")</f>
        <v>81.32402-0236</v>
      </c>
      <c r="B2428" s="12" t="str">
        <f>HYPERLINK("https://parts-sales.ru/parts/MAN/81324020236","Подвижная втулка")</f>
        <v>Подвижная втулка</v>
      </c>
      <c r="C2428" s="3" t="s">
        <v>29</v>
      </c>
      <c r="D2428" s="4">
        <v>31112.400000000001</v>
      </c>
      <c r="E2428" s="4">
        <v>6613</v>
      </c>
      <c r="F2428" s="8">
        <v>0.79</v>
      </c>
      <c r="H2428" s="11"/>
      <c r="I2428" s="11"/>
      <c r="J2428" s="11"/>
    </row>
    <row r="2429" spans="1:10" ht="15.75" x14ac:dyDescent="0.3">
      <c r="A2429" s="13" t="str">
        <f>HYPERLINK("https://parts-sales.ru/parts/MAN/81324020237","81.32402-0237")</f>
        <v>81.32402-0237</v>
      </c>
      <c r="B2429" s="13" t="str">
        <f>HYPERLINK("https://parts-sales.ru/parts/MAN/81324020237","Подвижная втулка")</f>
        <v>Подвижная втулка</v>
      </c>
      <c r="C2429" s="5" t="s">
        <v>29</v>
      </c>
      <c r="D2429" s="6">
        <v>30129.98</v>
      </c>
      <c r="E2429" s="6">
        <v>14061</v>
      </c>
      <c r="F2429" s="9">
        <v>0.53</v>
      </c>
      <c r="H2429" s="11"/>
      <c r="I2429" s="11"/>
      <c r="J2429" s="11"/>
    </row>
    <row r="2430" spans="1:10" ht="15.75" x14ac:dyDescent="0.3">
      <c r="A2430" s="12" t="str">
        <f>HYPERLINK("https://parts-sales.ru/parts/MAN/81324040002","81.32404-0002")</f>
        <v>81.32404-0002</v>
      </c>
      <c r="B2430" s="12" t="str">
        <f>HYPERLINK("https://parts-sales.ru/parts/MAN/81324040002","Кронштейн подшипника")</f>
        <v>Кронштейн подшипника</v>
      </c>
      <c r="C2430" s="3" t="s">
        <v>29</v>
      </c>
      <c r="D2430" s="4">
        <v>20492.400000000001</v>
      </c>
      <c r="E2430" s="4">
        <v>3725</v>
      </c>
      <c r="F2430" s="8">
        <v>0.82</v>
      </c>
      <c r="H2430" s="11"/>
      <c r="I2430" s="11"/>
      <c r="J2430" s="11"/>
    </row>
    <row r="2431" spans="1:10" ht="15.75" x14ac:dyDescent="0.3">
      <c r="A2431" s="13" t="str">
        <f>HYPERLINK("https://parts-sales.ru/parts/MAN/81324200151","81.32420-0151")</f>
        <v>81.32420-0151</v>
      </c>
      <c r="B2431" s="13" t="str">
        <f>HYPERLINK("https://parts-sales.ru/parts/MAN/81324200151","Синхронная часть")</f>
        <v>Синхронная часть</v>
      </c>
      <c r="C2431" s="5" t="s">
        <v>29</v>
      </c>
      <c r="D2431" s="6">
        <v>24120.14</v>
      </c>
      <c r="E2431" s="6">
        <v>5339</v>
      </c>
      <c r="F2431" s="9">
        <v>0.78</v>
      </c>
      <c r="H2431" s="11"/>
      <c r="I2431" s="11"/>
      <c r="J2431" s="11"/>
    </row>
    <row r="2432" spans="1:10" ht="15.75" x14ac:dyDescent="0.3">
      <c r="A2432" s="12" t="str">
        <f>HYPERLINK("https://parts-sales.ru/parts/MAN/81324200241","81.32420-0241")</f>
        <v>81.32420-0241</v>
      </c>
      <c r="B2432" s="12" t="str">
        <f>HYPERLINK("https://parts-sales.ru/parts/MAN/81324200241","Синхронное кольцо")</f>
        <v>Синхронное кольцо</v>
      </c>
      <c r="C2432" s="3" t="s">
        <v>29</v>
      </c>
      <c r="D2432" s="4">
        <v>34658.400000000001</v>
      </c>
      <c r="E2432" s="4">
        <v>7173</v>
      </c>
      <c r="F2432" s="8">
        <v>0.79</v>
      </c>
      <c r="H2432" s="11"/>
      <c r="I2432" s="11"/>
      <c r="J2432" s="11"/>
    </row>
    <row r="2433" spans="1:10" ht="15.75" x14ac:dyDescent="0.3">
      <c r="A2433" s="13" t="str">
        <f>HYPERLINK("https://parts-sales.ru/parts/MAN/81324200287","81.32420-0287")</f>
        <v>81.32420-0287</v>
      </c>
      <c r="B2433" s="13" t="str">
        <f>HYPERLINK("https://parts-sales.ru/parts/MAN/81324200287","Синхронное кольцо")</f>
        <v>Синхронное кольцо</v>
      </c>
      <c r="C2433" s="5" t="s">
        <v>29</v>
      </c>
      <c r="D2433" s="6">
        <v>9848.4</v>
      </c>
      <c r="E2433" s="6">
        <v>3446</v>
      </c>
      <c r="F2433" s="9">
        <v>0.65</v>
      </c>
      <c r="H2433" s="11"/>
      <c r="I2433" s="11"/>
      <c r="J2433" s="11"/>
    </row>
    <row r="2434" spans="1:10" ht="15.75" x14ac:dyDescent="0.3">
      <c r="A2434" s="12" t="str">
        <f>HYPERLINK("https://parts-sales.ru/parts/MAN/81324200293","81.32420-0293")</f>
        <v>81.32420-0293</v>
      </c>
      <c r="B2434" s="12" t="str">
        <f>HYPERLINK("https://parts-sales.ru/parts/MAN/81324200293","Синхронная часть")</f>
        <v>Синхронная часть</v>
      </c>
      <c r="C2434" s="3" t="s">
        <v>29</v>
      </c>
      <c r="D2434" s="4">
        <v>11901.6</v>
      </c>
      <c r="E2434" s="4">
        <v>4355</v>
      </c>
      <c r="F2434" s="8">
        <v>0.63</v>
      </c>
      <c r="H2434" s="11"/>
      <c r="I2434" s="11"/>
      <c r="J2434" s="11"/>
    </row>
    <row r="2435" spans="1:10" ht="15.75" x14ac:dyDescent="0.3">
      <c r="A2435" s="13" t="str">
        <f>HYPERLINK("https://parts-sales.ru/parts/MAN/81324200311","81.32420-0311")</f>
        <v>81.32420-0311</v>
      </c>
      <c r="B2435" s="13" t="str">
        <f>HYPERLINK("https://parts-sales.ru/parts/MAN/81324200311","Синхронная часть")</f>
        <v>Синхронная часть</v>
      </c>
      <c r="C2435" s="5" t="s">
        <v>29</v>
      </c>
      <c r="D2435" s="6">
        <v>18932.830000000002</v>
      </c>
      <c r="E2435" s="6">
        <v>7908</v>
      </c>
      <c r="F2435" s="9">
        <v>0.57999999999999996</v>
      </c>
      <c r="H2435" s="11"/>
      <c r="I2435" s="11"/>
      <c r="J2435" s="11"/>
    </row>
    <row r="2436" spans="1:10" ht="15.75" x14ac:dyDescent="0.3">
      <c r="A2436" s="12" t="str">
        <f>HYPERLINK("https://parts-sales.ru/parts/MAN/81324200313","81.32420-0313")</f>
        <v>81.32420-0313</v>
      </c>
      <c r="B2436" s="12" t="str">
        <f>HYPERLINK("https://parts-sales.ru/parts/MAN/81324200313","Синхронная часть")</f>
        <v>Синхронная часть</v>
      </c>
      <c r="C2436" s="3" t="s">
        <v>29</v>
      </c>
      <c r="D2436" s="4">
        <v>35250</v>
      </c>
      <c r="E2436" s="4">
        <v>7105</v>
      </c>
      <c r="F2436" s="8">
        <v>0.8</v>
      </c>
      <c r="H2436" s="11"/>
      <c r="I2436" s="11"/>
      <c r="J2436" s="11"/>
    </row>
    <row r="2437" spans="1:10" ht="15.75" x14ac:dyDescent="0.3">
      <c r="A2437" s="13" t="str">
        <f>HYPERLINK("https://parts-sales.ru/parts/MAN/81324200338","81.32420-0338")</f>
        <v>81.32420-0338</v>
      </c>
      <c r="B2437" s="13" t="str">
        <f>HYPERLINK("https://parts-sales.ru/parts/MAN/81324200338","Синхронное кольцо")</f>
        <v>Синхронное кольцо</v>
      </c>
      <c r="C2437" s="5" t="s">
        <v>29</v>
      </c>
      <c r="D2437" s="6">
        <v>42009.599999999999</v>
      </c>
      <c r="E2437" s="6">
        <v>9346</v>
      </c>
      <c r="F2437" s="9">
        <v>0.78</v>
      </c>
      <c r="H2437" s="11"/>
      <c r="I2437" s="11"/>
      <c r="J2437" s="11"/>
    </row>
    <row r="2438" spans="1:10" ht="15.75" x14ac:dyDescent="0.3">
      <c r="A2438" s="12" t="str">
        <f>HYPERLINK("https://parts-sales.ru/parts/MAN/81324200343","81.32420-0343")</f>
        <v>81.32420-0343</v>
      </c>
      <c r="B2438" s="12" t="str">
        <f>HYPERLINK("https://parts-sales.ru/parts/MAN/81324200343","Синхронное кольцо")</f>
        <v>Синхронное кольцо</v>
      </c>
      <c r="C2438" s="3" t="s">
        <v>29</v>
      </c>
      <c r="D2438" s="4">
        <v>22363.200000000001</v>
      </c>
      <c r="E2438" s="4">
        <v>4516</v>
      </c>
      <c r="F2438" s="8">
        <v>0.8</v>
      </c>
      <c r="H2438" s="11"/>
      <c r="I2438" s="11"/>
      <c r="J2438" s="11"/>
    </row>
    <row r="2439" spans="1:10" ht="15.75" x14ac:dyDescent="0.3">
      <c r="A2439" s="13" t="str">
        <f>HYPERLINK("https://parts-sales.ru/parts/MAN/81324250092","81.32425-0092")</f>
        <v>81.32425-0092</v>
      </c>
      <c r="B2439" s="13" t="str">
        <f>HYPERLINK("https://parts-sales.ru/parts/MAN/81324250092","Кольцо синхронизатора КПП")</f>
        <v>Кольцо синхронизатора КПП</v>
      </c>
      <c r="C2439" s="5" t="s">
        <v>29</v>
      </c>
      <c r="D2439" s="6">
        <v>31927.200000000001</v>
      </c>
      <c r="E2439" s="6">
        <v>6889</v>
      </c>
      <c r="F2439" s="9">
        <v>0.78</v>
      </c>
      <c r="H2439" s="11"/>
      <c r="I2439" s="11"/>
      <c r="J2439" s="11"/>
    </row>
    <row r="2440" spans="1:10" ht="15.75" x14ac:dyDescent="0.3">
      <c r="A2440" s="12" t="str">
        <f>HYPERLINK("https://parts-sales.ru/parts/MAN/81324250094","81.32425-0094")</f>
        <v>81.32425-0094</v>
      </c>
      <c r="B2440" s="12" t="str">
        <f>HYPERLINK("https://parts-sales.ru/parts/MAN/81324250094","Корпус сцепления")</f>
        <v>Корпус сцепления</v>
      </c>
      <c r="C2440" s="3" t="s">
        <v>29</v>
      </c>
      <c r="D2440" s="4">
        <v>38794.800000000003</v>
      </c>
      <c r="E2440" s="4">
        <v>7987</v>
      </c>
      <c r="F2440" s="8">
        <v>0.79</v>
      </c>
      <c r="H2440" s="11"/>
      <c r="I2440" s="11"/>
      <c r="J2440" s="11"/>
    </row>
    <row r="2441" spans="1:10" ht="15.75" x14ac:dyDescent="0.3">
      <c r="A2441" s="13" t="str">
        <f>HYPERLINK("https://parts-sales.ru/parts/MAN/81324250117","81.32425-0117")</f>
        <v>81.32425-0117</v>
      </c>
      <c r="B2441" s="13" t="str">
        <f>HYPERLINK("https://parts-sales.ru/parts/MAN/81324250117","Корпус сцепления")</f>
        <v>Корпус сцепления</v>
      </c>
      <c r="C2441" s="5" t="s">
        <v>29</v>
      </c>
      <c r="D2441" s="6">
        <v>31506</v>
      </c>
      <c r="E2441" s="6">
        <v>7062</v>
      </c>
      <c r="F2441" s="9">
        <v>0.78</v>
      </c>
      <c r="H2441" s="11"/>
      <c r="I2441" s="11"/>
      <c r="J2441" s="11"/>
    </row>
    <row r="2442" spans="1:10" ht="15.75" x14ac:dyDescent="0.3">
      <c r="A2442" s="12" t="str">
        <f>HYPERLINK("https://parts-sales.ru/parts/MAN/81324250132","81.32425-0132")</f>
        <v>81.32425-0132</v>
      </c>
      <c r="B2442" s="12" t="str">
        <f>HYPERLINK("https://parts-sales.ru/parts/MAN/81324250132","Кольцо синхронизатора КПП")</f>
        <v>Кольцо синхронизатора КПП</v>
      </c>
      <c r="C2442" s="3" t="s">
        <v>29</v>
      </c>
      <c r="D2442" s="4">
        <v>62520</v>
      </c>
      <c r="E2442" s="4">
        <v>12381</v>
      </c>
      <c r="F2442" s="8">
        <v>0.8</v>
      </c>
      <c r="H2442" s="11"/>
      <c r="I2442" s="11"/>
      <c r="J2442" s="11"/>
    </row>
    <row r="2443" spans="1:10" ht="15.75" x14ac:dyDescent="0.3">
      <c r="A2443" s="13" t="str">
        <f>HYPERLINK("https://parts-sales.ru/parts/MAN/81324250136","81.32425-0136")</f>
        <v>81.32425-0136</v>
      </c>
      <c r="B2443" s="13" t="str">
        <f>HYPERLINK("https://parts-sales.ru/parts/MAN/81324250136","Корпус сцепления")</f>
        <v>Корпус сцепления</v>
      </c>
      <c r="C2443" s="5" t="s">
        <v>29</v>
      </c>
      <c r="D2443" s="6">
        <v>98036.84</v>
      </c>
      <c r="E2443" s="6">
        <v>44919</v>
      </c>
      <c r="F2443" s="9">
        <v>0.54</v>
      </c>
      <c r="H2443" s="11"/>
      <c r="I2443" s="11"/>
      <c r="J2443" s="11"/>
    </row>
    <row r="2444" spans="1:10" ht="15.75" x14ac:dyDescent="0.3">
      <c r="A2444" s="12" t="str">
        <f>HYPERLINK("https://parts-sales.ru/parts/MAN/81324250158","81.32425-0158")</f>
        <v>81.32425-0158</v>
      </c>
      <c r="B2444" s="12" t="str">
        <f>HYPERLINK("https://parts-sales.ru/parts/MAN/81324250158","Корпус сцепления")</f>
        <v>Корпус сцепления</v>
      </c>
      <c r="C2444" s="3" t="s">
        <v>29</v>
      </c>
      <c r="D2444" s="4">
        <v>16668.43</v>
      </c>
      <c r="E2444" s="4">
        <v>4041</v>
      </c>
      <c r="F2444" s="8">
        <v>0.76</v>
      </c>
      <c r="H2444" s="11"/>
      <c r="I2444" s="11"/>
      <c r="J2444" s="11"/>
    </row>
    <row r="2445" spans="1:10" ht="15.75" x14ac:dyDescent="0.3">
      <c r="A2445" s="13" t="str">
        <f>HYPERLINK("https://parts-sales.ru/parts/MAN/81324250208","81.32425-0208")</f>
        <v>81.32425-0208</v>
      </c>
      <c r="B2445" s="13" t="str">
        <f>HYPERLINK("https://parts-sales.ru/parts/MAN/81324250208","Конус")</f>
        <v>Конус</v>
      </c>
      <c r="C2445" s="5" t="s">
        <v>29</v>
      </c>
      <c r="D2445" s="6">
        <v>98966.399999999994</v>
      </c>
      <c r="E2445" s="6">
        <v>30149</v>
      </c>
      <c r="F2445" s="9">
        <v>0.7</v>
      </c>
      <c r="H2445" s="11"/>
      <c r="I2445" s="11"/>
      <c r="J2445" s="11"/>
    </row>
    <row r="2446" spans="1:10" ht="15.75" x14ac:dyDescent="0.3">
      <c r="A2446" s="12" t="str">
        <f>HYPERLINK("https://parts-sales.ru/parts/MAN/81324250214","81.32425-0214")</f>
        <v>81.32425-0214</v>
      </c>
      <c r="B2446" s="12" t="str">
        <f>HYPERLINK("https://parts-sales.ru/parts/MAN/81324250214","Корпус сцепления")</f>
        <v>Корпус сцепления</v>
      </c>
      <c r="C2446" s="3" t="s">
        <v>29</v>
      </c>
      <c r="D2446" s="4">
        <v>25206</v>
      </c>
      <c r="E2446" s="4">
        <v>5744</v>
      </c>
      <c r="F2446" s="8">
        <v>0.77</v>
      </c>
      <c r="H2446" s="11"/>
      <c r="I2446" s="11"/>
      <c r="J2446" s="11"/>
    </row>
    <row r="2447" spans="1:10" ht="15.75" x14ac:dyDescent="0.3">
      <c r="A2447" s="13" t="str">
        <f>HYPERLINK("https://parts-sales.ru/parts/MAN/81325080153","81.32508-0153")</f>
        <v>81.32508-0153</v>
      </c>
      <c r="B2447" s="13" t="str">
        <f>HYPERLINK("https://parts-sales.ru/parts/MAN/81325080153","Крышка")</f>
        <v>Крышка</v>
      </c>
      <c r="C2447" s="5" t="s">
        <v>29</v>
      </c>
      <c r="D2447" s="6">
        <v>7599.6</v>
      </c>
      <c r="E2447" s="6">
        <v>2074</v>
      </c>
      <c r="F2447" s="9">
        <v>0.73</v>
      </c>
      <c r="H2447" s="11"/>
      <c r="I2447" s="11"/>
      <c r="J2447" s="11"/>
    </row>
    <row r="2448" spans="1:10" ht="15.75" x14ac:dyDescent="0.3">
      <c r="A2448" s="12" t="str">
        <f>HYPERLINK("https://parts-sales.ru/parts/MAN/81325100005","81.32510-0005")</f>
        <v>81.32510-0005</v>
      </c>
      <c r="B2448" s="12" t="str">
        <f>HYPERLINK("https://parts-sales.ru/parts/MAN/81325100005","Нажимная часть")</f>
        <v>Нажимная часть</v>
      </c>
      <c r="C2448" s="3" t="s">
        <v>29</v>
      </c>
      <c r="D2448" s="4">
        <v>1294.8</v>
      </c>
      <c r="E2448" s="4">
        <v>367</v>
      </c>
      <c r="F2448" s="8">
        <v>0.72</v>
      </c>
      <c r="H2448" s="11"/>
      <c r="I2448" s="11"/>
      <c r="J2448" s="11"/>
    </row>
    <row r="2449" spans="1:10" ht="15.75" x14ac:dyDescent="0.3">
      <c r="A2449" s="13" t="str">
        <f>HYPERLINK("https://parts-sales.ru/parts/MAN/81325100013","81.32510-0013")</f>
        <v>81.32510-0013</v>
      </c>
      <c r="B2449" s="13" t="str">
        <f>HYPERLINK("https://parts-sales.ru/parts/MAN/81325100013","Нажимная часть")</f>
        <v>Нажимная часть</v>
      </c>
      <c r="C2449" s="5" t="s">
        <v>29</v>
      </c>
      <c r="D2449" s="6">
        <v>1294.8</v>
      </c>
      <c r="E2449" s="6">
        <v>496</v>
      </c>
      <c r="F2449" s="9">
        <v>0.62</v>
      </c>
      <c r="H2449" s="11"/>
      <c r="I2449" s="11"/>
      <c r="J2449" s="11"/>
    </row>
    <row r="2450" spans="1:10" ht="15.75" x14ac:dyDescent="0.3">
      <c r="A2450" s="12" t="str">
        <f>HYPERLINK("https://parts-sales.ru/parts/MAN/81325210213","81.32521-0213")</f>
        <v>81.32521-0213</v>
      </c>
      <c r="B2450" s="12" t="str">
        <f>HYPERLINK("https://parts-sales.ru/parts/MAN/81325210213","Кольцо")</f>
        <v>Кольцо</v>
      </c>
      <c r="C2450" s="3" t="s">
        <v>29</v>
      </c>
      <c r="D2450" s="4">
        <v>52334.400000000001</v>
      </c>
      <c r="E2450" s="4">
        <v>11269</v>
      </c>
      <c r="F2450" s="8">
        <v>0.78</v>
      </c>
      <c r="H2450" s="11"/>
      <c r="I2450" s="11"/>
      <c r="J2450" s="11"/>
    </row>
    <row r="2451" spans="1:10" ht="15.75" x14ac:dyDescent="0.3">
      <c r="A2451" s="13" t="str">
        <f>HYPERLINK("https://parts-sales.ru/parts/MAN/81325210216","81.32521-0216")</f>
        <v>81.32521-0216</v>
      </c>
      <c r="B2451" s="13" t="str">
        <f>HYPERLINK("https://parts-sales.ru/parts/MAN/81325210216","Кольцо")</f>
        <v>Кольцо</v>
      </c>
      <c r="C2451" s="5" t="s">
        <v>29</v>
      </c>
      <c r="D2451" s="6">
        <v>90</v>
      </c>
      <c r="E2451" s="6">
        <v>26</v>
      </c>
      <c r="F2451" s="9">
        <v>0.71</v>
      </c>
      <c r="H2451" s="11"/>
      <c r="I2451" s="11"/>
      <c r="J2451" s="11"/>
    </row>
    <row r="2452" spans="1:10" ht="15.75" x14ac:dyDescent="0.3">
      <c r="A2452" s="12" t="str">
        <f>HYPERLINK("https://parts-sales.ru/parts/MAN/81325216142","81.32521-6142")</f>
        <v>81.32521-6142</v>
      </c>
      <c r="B2452" s="12" t="str">
        <f>HYPERLINK("https://parts-sales.ru/parts/MAN/81325216142","Кольцо 5,00")</f>
        <v>Кольцо 5,00</v>
      </c>
      <c r="C2452" s="3" t="s">
        <v>29</v>
      </c>
      <c r="D2452" s="4">
        <v>18464.400000000001</v>
      </c>
      <c r="E2452" s="4">
        <v>3162</v>
      </c>
      <c r="F2452" s="8">
        <v>0.83</v>
      </c>
      <c r="H2452" s="11"/>
      <c r="I2452" s="11"/>
      <c r="J2452" s="11"/>
    </row>
    <row r="2453" spans="1:10" ht="15.75" x14ac:dyDescent="0.3">
      <c r="A2453" s="13" t="str">
        <f>HYPERLINK("https://parts-sales.ru/parts/MAN/81325230210","81.32523-0210")</f>
        <v>81.32523-0210</v>
      </c>
      <c r="B2453" s="13" t="str">
        <f>HYPERLINK("https://parts-sales.ru/parts/MAN/81325230210","Ось планетарного колеса")</f>
        <v>Ось планетарного колеса</v>
      </c>
      <c r="C2453" s="5" t="s">
        <v>29</v>
      </c>
      <c r="D2453" s="6">
        <v>8256</v>
      </c>
      <c r="E2453" s="6">
        <v>1602</v>
      </c>
      <c r="F2453" s="9">
        <v>0.81</v>
      </c>
      <c r="H2453" s="11"/>
      <c r="I2453" s="11"/>
      <c r="J2453" s="11"/>
    </row>
    <row r="2454" spans="1:10" ht="15.75" x14ac:dyDescent="0.3">
      <c r="A2454" s="12" t="str">
        <f>HYPERLINK("https://parts-sales.ru/parts/MAN/81325230230","81.32523-0230")</f>
        <v>81.32523-0230</v>
      </c>
      <c r="B2454" s="12" t="str">
        <f>HYPERLINK("https://parts-sales.ru/parts/MAN/81325230230","Ось планетарного колеса")</f>
        <v>Ось планетарного колеса</v>
      </c>
      <c r="C2454" s="3" t="s">
        <v>29</v>
      </c>
      <c r="D2454" s="4">
        <v>10753.2</v>
      </c>
      <c r="E2454" s="4">
        <v>2814</v>
      </c>
      <c r="F2454" s="8">
        <v>0.74</v>
      </c>
      <c r="H2454" s="11"/>
      <c r="I2454" s="11"/>
      <c r="J2454" s="11"/>
    </row>
    <row r="2455" spans="1:10" ht="15.75" x14ac:dyDescent="0.3">
      <c r="A2455" s="13" t="str">
        <f>HYPERLINK("https://parts-sales.ru/parts/MAN/81325230238","81.32523-0238")</f>
        <v>81.32523-0238</v>
      </c>
      <c r="B2455" s="13" t="str">
        <f>HYPERLINK("https://parts-sales.ru/parts/MAN/81325230238","Фиксатор")</f>
        <v>Фиксатор</v>
      </c>
      <c r="C2455" s="5" t="s">
        <v>29</v>
      </c>
      <c r="D2455" s="6">
        <v>5598</v>
      </c>
      <c r="E2455" s="6">
        <v>1509</v>
      </c>
      <c r="F2455" s="9">
        <v>0.73</v>
      </c>
      <c r="H2455" s="11"/>
      <c r="I2455" s="11"/>
      <c r="J2455" s="11"/>
    </row>
    <row r="2456" spans="1:10" ht="15.75" x14ac:dyDescent="0.3">
      <c r="A2456" s="12" t="str">
        <f>HYPERLINK("https://parts-sales.ru/parts/MAN/81325240040","81.32524-0040")</f>
        <v>81.32524-0040</v>
      </c>
      <c r="B2456" s="12" t="str">
        <f>HYPERLINK("https://parts-sales.ru/parts/MAN/81325240040","Втулка")</f>
        <v>Втулка</v>
      </c>
      <c r="C2456" s="3" t="s">
        <v>29</v>
      </c>
      <c r="D2456" s="4">
        <v>1646.4</v>
      </c>
      <c r="E2456" s="4">
        <v>510</v>
      </c>
      <c r="F2456" s="8">
        <v>0.69</v>
      </c>
      <c r="H2456" s="11"/>
      <c r="I2456" s="11"/>
      <c r="J2456" s="11"/>
    </row>
    <row r="2457" spans="1:10" ht="15.75" x14ac:dyDescent="0.3">
      <c r="A2457" s="13" t="str">
        <f>HYPERLINK("https://parts-sales.ru/parts/MAN/81325240041","81.32524-0041")</f>
        <v>81.32524-0041</v>
      </c>
      <c r="B2457" s="13" t="str">
        <f>HYPERLINK("https://parts-sales.ru/parts/MAN/81325240041","Втулка")</f>
        <v>Втулка</v>
      </c>
      <c r="C2457" s="5" t="s">
        <v>29</v>
      </c>
      <c r="D2457" s="6">
        <v>89551.2</v>
      </c>
      <c r="E2457" s="6">
        <v>24448</v>
      </c>
      <c r="F2457" s="9">
        <v>0.73</v>
      </c>
      <c r="H2457" s="11"/>
      <c r="I2457" s="11"/>
      <c r="J2457" s="11"/>
    </row>
    <row r="2458" spans="1:10" ht="15.75" x14ac:dyDescent="0.3">
      <c r="A2458" s="12" t="str">
        <f>HYPERLINK("https://parts-sales.ru/parts/MAN/81325240044","81.32524-0044")</f>
        <v>81.32524-0044</v>
      </c>
      <c r="B2458" s="12" t="str">
        <f>HYPERLINK("https://parts-sales.ru/parts/MAN/81325240044","Втулка")</f>
        <v>Втулка</v>
      </c>
      <c r="C2458" s="3" t="s">
        <v>29</v>
      </c>
      <c r="D2458" s="4">
        <v>31549.200000000001</v>
      </c>
      <c r="E2458" s="4">
        <v>7712</v>
      </c>
      <c r="F2458" s="8">
        <v>0.76</v>
      </c>
      <c r="H2458" s="11"/>
      <c r="I2458" s="11"/>
      <c r="J2458" s="11"/>
    </row>
    <row r="2459" spans="1:10" ht="15.75" x14ac:dyDescent="0.3">
      <c r="A2459" s="13" t="str">
        <f>HYPERLINK("https://parts-sales.ru/parts/MAN/81325260026","81.32526-0026")</f>
        <v>81.32526-0026</v>
      </c>
      <c r="B2459" s="13" t="str">
        <f>HYPERLINK("https://parts-sales.ru/parts/MAN/81325260026","Ползун")</f>
        <v>Ползун</v>
      </c>
      <c r="C2459" s="5" t="s">
        <v>29</v>
      </c>
      <c r="D2459" s="6">
        <v>5233.2</v>
      </c>
      <c r="E2459" s="6">
        <v>1244</v>
      </c>
      <c r="F2459" s="9">
        <v>0.76</v>
      </c>
      <c r="H2459" s="11"/>
      <c r="I2459" s="11"/>
      <c r="J2459" s="11"/>
    </row>
    <row r="2460" spans="1:10" ht="15.75" x14ac:dyDescent="0.3">
      <c r="A2460" s="12" t="str">
        <f>HYPERLINK("https://parts-sales.ru/parts/MAN/81325260027","81.32526-0027")</f>
        <v>81.32526-0027</v>
      </c>
      <c r="B2460" s="12" t="str">
        <f>HYPERLINK("https://parts-sales.ru/parts/MAN/81325260027","Ползун")</f>
        <v>Ползун</v>
      </c>
      <c r="C2460" s="3" t="s">
        <v>29</v>
      </c>
      <c r="D2460" s="4">
        <v>2941.2</v>
      </c>
      <c r="E2460" s="4">
        <v>530</v>
      </c>
      <c r="F2460" s="8">
        <v>0.82</v>
      </c>
      <c r="H2460" s="11"/>
      <c r="I2460" s="11"/>
      <c r="J2460" s="11"/>
    </row>
    <row r="2461" spans="1:10" ht="15.75" x14ac:dyDescent="0.3">
      <c r="A2461" s="13" t="str">
        <f>HYPERLINK("https://parts-sales.ru/parts/MAN/81325260038","81.32526-0038")</f>
        <v>81.32526-0038</v>
      </c>
      <c r="B2461" s="13" t="str">
        <f>HYPERLINK("https://parts-sales.ru/parts/MAN/81325260038","Ползун")</f>
        <v>Ползун</v>
      </c>
      <c r="C2461" s="5" t="s">
        <v>29</v>
      </c>
      <c r="D2461" s="6">
        <v>3246</v>
      </c>
      <c r="E2461" s="6">
        <v>733</v>
      </c>
      <c r="F2461" s="9">
        <v>0.77</v>
      </c>
      <c r="H2461" s="11"/>
      <c r="I2461" s="11"/>
      <c r="J2461" s="11"/>
    </row>
    <row r="2462" spans="1:10" ht="15.75" x14ac:dyDescent="0.3">
      <c r="A2462" s="12" t="str">
        <f>HYPERLINK("https://parts-sales.ru/parts/MAN/81325260039","81.32526-0039")</f>
        <v>81.32526-0039</v>
      </c>
      <c r="B2462" s="12" t="str">
        <f>HYPERLINK("https://parts-sales.ru/parts/MAN/81325260039","Ползун")</f>
        <v>Ползун</v>
      </c>
      <c r="C2462" s="3" t="s">
        <v>29</v>
      </c>
      <c r="D2462" s="4">
        <v>1873.2</v>
      </c>
      <c r="E2462" s="4">
        <v>488</v>
      </c>
      <c r="F2462" s="8">
        <v>0.74</v>
      </c>
      <c r="H2462" s="11"/>
      <c r="I2462" s="11"/>
      <c r="J2462" s="11"/>
    </row>
    <row r="2463" spans="1:10" ht="15.75" x14ac:dyDescent="0.3">
      <c r="A2463" s="13" t="str">
        <f>HYPERLINK("https://parts-sales.ru/parts/MAN/81325270021","81.32527-0021")</f>
        <v>81.32527-0021</v>
      </c>
      <c r="B2463" s="13" t="str">
        <f>HYPERLINK("https://parts-sales.ru/parts/MAN/81325270021","Кольцо 3,20")</f>
        <v>Кольцо 3,20</v>
      </c>
      <c r="C2463" s="5" t="s">
        <v>29</v>
      </c>
      <c r="D2463" s="6">
        <v>8299.2000000000007</v>
      </c>
      <c r="E2463" s="6">
        <v>1895</v>
      </c>
      <c r="F2463" s="9">
        <v>0.77</v>
      </c>
      <c r="H2463" s="11"/>
      <c r="I2463" s="11"/>
      <c r="J2463" s="11"/>
    </row>
    <row r="2464" spans="1:10" ht="15.75" x14ac:dyDescent="0.3">
      <c r="A2464" s="12" t="str">
        <f>HYPERLINK("https://parts-sales.ru/parts/MAN/81325270023","81.32527-0023")</f>
        <v>81.32527-0023</v>
      </c>
      <c r="B2464" s="12" t="str">
        <f>HYPERLINK("https://parts-sales.ru/parts/MAN/81325270023","Кольцо 3,30")</f>
        <v>Кольцо 3,30</v>
      </c>
      <c r="C2464" s="3" t="s">
        <v>29</v>
      </c>
      <c r="D2464" s="4">
        <v>7231.2</v>
      </c>
      <c r="E2464" s="4">
        <v>2044</v>
      </c>
      <c r="F2464" s="8">
        <v>0.72</v>
      </c>
      <c r="H2464" s="11"/>
      <c r="I2464" s="11"/>
      <c r="J2464" s="11"/>
    </row>
    <row r="2465" spans="1:10" ht="15.75" x14ac:dyDescent="0.3">
      <c r="A2465" s="13" t="str">
        <f>HYPERLINK("https://parts-sales.ru/parts/MAN/81325270026","81.32527-0026")</f>
        <v>81.32527-0026</v>
      </c>
      <c r="B2465" s="13" t="str">
        <f>HYPERLINK("https://parts-sales.ru/parts/MAN/81325270026","Кольцо 3,00")</f>
        <v>Кольцо 3,00</v>
      </c>
      <c r="C2465" s="5" t="s">
        <v>29</v>
      </c>
      <c r="D2465" s="6">
        <v>8132.4</v>
      </c>
      <c r="E2465" s="6">
        <v>1321</v>
      </c>
      <c r="F2465" s="9">
        <v>0.84</v>
      </c>
      <c r="H2465" s="11"/>
      <c r="I2465" s="11"/>
      <c r="J2465" s="11"/>
    </row>
    <row r="2466" spans="1:10" ht="15.75" x14ac:dyDescent="0.3">
      <c r="A2466" s="12" t="str">
        <f>HYPERLINK("https://parts-sales.ru/parts/MAN/81325310032","81.32531-0032")</f>
        <v>81.32531-0032</v>
      </c>
      <c r="B2466" s="12" t="str">
        <f>HYPERLINK("https://parts-sales.ru/parts/MAN/81325310032","Распорка")</f>
        <v>Распорка</v>
      </c>
      <c r="C2466" s="3" t="s">
        <v>29</v>
      </c>
      <c r="D2466" s="4">
        <v>320.39999999999998</v>
      </c>
      <c r="E2466" s="4">
        <v>75</v>
      </c>
      <c r="F2466" s="8">
        <v>0.77</v>
      </c>
      <c r="H2466" s="11"/>
      <c r="I2466" s="11"/>
      <c r="J2466" s="11"/>
    </row>
    <row r="2467" spans="1:10" ht="15.75" x14ac:dyDescent="0.3">
      <c r="A2467" s="13" t="str">
        <f>HYPERLINK("https://parts-sales.ru/parts/MAN/81325400031","81.32540-0031")</f>
        <v>81.32540-0031</v>
      </c>
      <c r="B2467" s="13" t="str">
        <f>HYPERLINK("https://parts-sales.ru/parts/MAN/81325400031","Сальник штока включения")</f>
        <v>Сальник штока включения</v>
      </c>
      <c r="C2467" s="5" t="s">
        <v>29</v>
      </c>
      <c r="D2467" s="6">
        <v>3721.2</v>
      </c>
      <c r="E2467" s="6">
        <v>1254</v>
      </c>
      <c r="F2467" s="9">
        <v>0.66</v>
      </c>
      <c r="H2467" s="11"/>
      <c r="I2467" s="11"/>
      <c r="J2467" s="11"/>
    </row>
    <row r="2468" spans="1:10" ht="15.75" x14ac:dyDescent="0.3">
      <c r="A2468" s="12" t="str">
        <f>HYPERLINK("https://parts-sales.ru/parts/MAN/81325450041","81.32545-0041")</f>
        <v>81.32545-0041</v>
      </c>
      <c r="B2468" s="12" t="str">
        <f>HYPERLINK("https://parts-sales.ru/parts/MAN/81325450041","Стопорный упор")</f>
        <v>Стопорный упор</v>
      </c>
      <c r="C2468" s="3" t="s">
        <v>29</v>
      </c>
      <c r="D2468" s="4">
        <v>3339.6</v>
      </c>
      <c r="E2468" s="4">
        <v>783</v>
      </c>
      <c r="F2468" s="8">
        <v>0.77</v>
      </c>
      <c r="H2468" s="11"/>
      <c r="I2468" s="11"/>
      <c r="J2468" s="11"/>
    </row>
    <row r="2469" spans="1:10" ht="15.75" x14ac:dyDescent="0.3">
      <c r="A2469" s="13" t="str">
        <f>HYPERLINK("https://parts-sales.ru/parts/MAN/81325606108","81.32560-6108")</f>
        <v>81.32560-6108</v>
      </c>
      <c r="B2469" s="13" t="str">
        <f>HYPERLINK("https://parts-sales.ru/parts/MAN/81325606108","Теплообменник")</f>
        <v>Теплообменник</v>
      </c>
      <c r="C2469" s="5" t="s">
        <v>29</v>
      </c>
      <c r="D2469" s="6">
        <v>217525.2</v>
      </c>
      <c r="E2469" s="6">
        <v>94667</v>
      </c>
      <c r="F2469" s="9">
        <v>0.56000000000000005</v>
      </c>
      <c r="H2469" s="11"/>
      <c r="I2469" s="11"/>
      <c r="J2469" s="11"/>
    </row>
    <row r="2470" spans="1:10" ht="15.75" x14ac:dyDescent="0.3">
      <c r="A2470" s="12" t="str">
        <f>HYPERLINK("https://parts-sales.ru/parts/MAN/81325620466","81.32562-0466")</f>
        <v>81.32562-0466</v>
      </c>
      <c r="B2470" s="12" t="str">
        <f>HYPERLINK("https://parts-sales.ru/parts/MAN/81325620466","Шлангопровод желтый")</f>
        <v>Шлангопровод желтый</v>
      </c>
      <c r="C2470" s="3" t="s">
        <v>29</v>
      </c>
      <c r="D2470" s="4">
        <v>85676.4</v>
      </c>
      <c r="E2470" s="4">
        <v>28417</v>
      </c>
      <c r="F2470" s="8">
        <v>0.67</v>
      </c>
      <c r="H2470" s="11"/>
      <c r="I2470" s="11"/>
      <c r="J2470" s="11"/>
    </row>
    <row r="2471" spans="1:10" ht="15.75" x14ac:dyDescent="0.3">
      <c r="A2471" s="13" t="str">
        <f>HYPERLINK("https://parts-sales.ru/parts/MAN/81325620524","81.32562-0524")</f>
        <v>81.32562-0524</v>
      </c>
      <c r="B2471" s="13" t="str">
        <f>HYPERLINK("https://parts-sales.ru/parts/MAN/81325620524","Шлангопровод без цветовой маркировки")</f>
        <v>Шлангопровод без цветовой маркировки</v>
      </c>
      <c r="C2471" s="5" t="s">
        <v>29</v>
      </c>
      <c r="D2471" s="6">
        <v>39322.1</v>
      </c>
      <c r="E2471" s="6">
        <v>18017</v>
      </c>
      <c r="F2471" s="9">
        <v>0.54</v>
      </c>
      <c r="H2471" s="11"/>
      <c r="I2471" s="11"/>
      <c r="J2471" s="11"/>
    </row>
    <row r="2472" spans="1:10" ht="15.75" x14ac:dyDescent="0.3">
      <c r="A2472" s="12" t="str">
        <f>HYPERLINK("https://parts-sales.ru/parts/MAN/81325620525","81.32562-0525")</f>
        <v>81.32562-0525</v>
      </c>
      <c r="B2472" s="12" t="str">
        <f>HYPERLINK("https://parts-sales.ru/parts/MAN/81325620525","Шлангопровод 2-HGS-ZF")</f>
        <v>Шлангопровод 2-HGS-ZF</v>
      </c>
      <c r="C2472" s="3" t="s">
        <v>29</v>
      </c>
      <c r="D2472" s="4">
        <v>85676.4</v>
      </c>
      <c r="E2472" s="4">
        <v>19550</v>
      </c>
      <c r="F2472" s="8">
        <v>0.77</v>
      </c>
      <c r="H2472" s="11"/>
      <c r="I2472" s="11"/>
      <c r="J2472" s="11"/>
    </row>
    <row r="2473" spans="1:10" ht="15.75" x14ac:dyDescent="0.3">
      <c r="A2473" s="13" t="str">
        <f>HYPERLINK("https://parts-sales.ru/parts/MAN/81325620555","81.32562-0555")</f>
        <v>81.32562-0555</v>
      </c>
      <c r="B2473" s="13" t="str">
        <f>HYPERLINK("https://parts-sales.ru/parts/MAN/81325620555","Труба")</f>
        <v>Труба</v>
      </c>
      <c r="C2473" s="5" t="s">
        <v>29</v>
      </c>
      <c r="D2473" s="6">
        <v>2796</v>
      </c>
      <c r="E2473" s="6">
        <v>927</v>
      </c>
      <c r="F2473" s="9">
        <v>0.67</v>
      </c>
      <c r="H2473" s="11"/>
      <c r="I2473" s="11"/>
      <c r="J2473" s="11"/>
    </row>
    <row r="2474" spans="1:10" ht="15.75" x14ac:dyDescent="0.3">
      <c r="A2474" s="12" t="str">
        <f>HYPERLINK("https://parts-sales.ru/parts/MAN/81325620578","81.32562-0578")</f>
        <v>81.32562-0578</v>
      </c>
      <c r="B2474" s="12" t="str">
        <f>HYPERLINK("https://parts-sales.ru/parts/MAN/81325620578","Трубопровод")</f>
        <v>Трубопровод</v>
      </c>
      <c r="C2474" s="3" t="s">
        <v>29</v>
      </c>
      <c r="D2474" s="4">
        <v>26997.599999999999</v>
      </c>
      <c r="E2474" s="4">
        <v>3950</v>
      </c>
      <c r="F2474" s="8">
        <v>0.85</v>
      </c>
      <c r="H2474" s="11"/>
      <c r="I2474" s="11"/>
      <c r="J2474" s="11"/>
    </row>
    <row r="2475" spans="1:10" ht="15.75" x14ac:dyDescent="0.3">
      <c r="A2475" s="13" t="str">
        <f>HYPERLINK("https://parts-sales.ru/parts/MAN/81325620625","81.32562-0625")</f>
        <v>81.32562-0625</v>
      </c>
      <c r="B2475" s="13" t="str">
        <f>HYPERLINK("https://parts-sales.ru/parts/MAN/81325620625","Трубка маслопровода")</f>
        <v>Трубка маслопровода</v>
      </c>
      <c r="C2475" s="5" t="s">
        <v>29</v>
      </c>
      <c r="D2475" s="6">
        <v>12300</v>
      </c>
      <c r="E2475" s="6">
        <v>4822</v>
      </c>
      <c r="F2475" s="9">
        <v>0.61</v>
      </c>
      <c r="H2475" s="11"/>
      <c r="I2475" s="11"/>
      <c r="J2475" s="11"/>
    </row>
    <row r="2476" spans="1:10" ht="15.75" x14ac:dyDescent="0.3">
      <c r="A2476" s="12" t="str">
        <f>HYPERLINK("https://parts-sales.ru/parts/MAN/81325800073","81.32580-0073")</f>
        <v>81.32580-0073</v>
      </c>
      <c r="B2476" s="12" t="str">
        <f>HYPERLINK("https://parts-sales.ru/parts/MAN/81325800073","Вытяжная вентиляция")</f>
        <v>Вытяжная вентиляция</v>
      </c>
      <c r="C2476" s="3" t="s">
        <v>29</v>
      </c>
      <c r="D2476" s="4">
        <v>2227.1999999999998</v>
      </c>
      <c r="E2476" s="4">
        <v>598</v>
      </c>
      <c r="F2476" s="8">
        <v>0.73</v>
      </c>
      <c r="H2476" s="11"/>
      <c r="I2476" s="11"/>
      <c r="J2476" s="11"/>
    </row>
    <row r="2477" spans="1:10" ht="15.75" x14ac:dyDescent="0.3">
      <c r="A2477" s="13" t="str">
        <f>HYPERLINK("https://parts-sales.ru/parts/MAN/81326050017","81.32605-0017")</f>
        <v>81.32605-0017</v>
      </c>
      <c r="B2477" s="13" t="str">
        <f>HYPERLINK("https://parts-sales.ru/parts/MAN/81326050017","Втулка подшипника")</f>
        <v>Втулка подшипника</v>
      </c>
      <c r="C2477" s="5" t="s">
        <v>29</v>
      </c>
      <c r="D2477" s="6">
        <v>2062.8000000000002</v>
      </c>
      <c r="E2477" s="6">
        <v>510</v>
      </c>
      <c r="F2477" s="9">
        <v>0.75</v>
      </c>
      <c r="H2477" s="11"/>
      <c r="I2477" s="11"/>
      <c r="J2477" s="11"/>
    </row>
    <row r="2478" spans="1:10" ht="15.75" x14ac:dyDescent="0.3">
      <c r="A2478" s="12" t="str">
        <f>HYPERLINK("https://parts-sales.ru/parts/MAN/81326200110","81.32620-0110")</f>
        <v>81.32620-0110</v>
      </c>
      <c r="B2478" s="12" t="str">
        <f>HYPERLINK("https://parts-sales.ru/parts/MAN/81326200110","Рукоятка рычага КПП")</f>
        <v>Рукоятка рычага КПП</v>
      </c>
      <c r="C2478" s="3" t="s">
        <v>29</v>
      </c>
      <c r="D2478" s="4">
        <v>35052</v>
      </c>
      <c r="E2478" s="4">
        <v>15859</v>
      </c>
      <c r="F2478" s="8">
        <v>0.55000000000000004</v>
      </c>
      <c r="H2478" s="11"/>
      <c r="I2478" s="11"/>
      <c r="J2478" s="11"/>
    </row>
    <row r="2479" spans="1:10" ht="15.75" x14ac:dyDescent="0.3">
      <c r="A2479" s="13" t="str">
        <f>HYPERLINK("https://parts-sales.ru/parts/MAN/81326390081","81.32639-0081")</f>
        <v>81.32639-0081</v>
      </c>
      <c r="B2479" s="13" t="str">
        <f>HYPERLINK("https://parts-sales.ru/parts/MAN/81326390081","Поршень включающего цилиндра")</f>
        <v>Поршень включающего цилиндра</v>
      </c>
      <c r="C2479" s="5" t="s">
        <v>29</v>
      </c>
      <c r="D2479" s="6">
        <v>15393.6</v>
      </c>
      <c r="E2479" s="6">
        <v>3789</v>
      </c>
      <c r="F2479" s="9">
        <v>0.75</v>
      </c>
      <c r="H2479" s="11"/>
      <c r="I2479" s="11"/>
      <c r="J2479" s="11"/>
    </row>
    <row r="2480" spans="1:10" ht="15.75" x14ac:dyDescent="0.3">
      <c r="A2480" s="12" t="str">
        <f>HYPERLINK("https://parts-sales.ru/parts/MAN/81326410198","81.32641-0198")</f>
        <v>81.32641-0198</v>
      </c>
      <c r="B2480" s="12" t="str">
        <f>HYPERLINK("https://parts-sales.ru/parts/MAN/81326410198","Держатель")</f>
        <v>Держатель</v>
      </c>
      <c r="C2480" s="3" t="s">
        <v>29</v>
      </c>
      <c r="D2480" s="4">
        <v>1483.2</v>
      </c>
      <c r="E2480" s="4">
        <v>492</v>
      </c>
      <c r="F2480" s="8">
        <v>0.67</v>
      </c>
      <c r="H2480" s="11"/>
      <c r="I2480" s="11"/>
      <c r="J2480" s="11"/>
    </row>
    <row r="2481" spans="1:10" ht="15.75" x14ac:dyDescent="0.3">
      <c r="A2481" s="13" t="str">
        <f>HYPERLINK("https://parts-sales.ru/parts/MAN/81326410204","81.32641-0204")</f>
        <v>81.32641-0204</v>
      </c>
      <c r="B2481" s="13" t="str">
        <f>HYPERLINK("https://parts-sales.ru/parts/MAN/81326410204","Защитный лист")</f>
        <v>Защитный лист</v>
      </c>
      <c r="C2481" s="5" t="s">
        <v>29</v>
      </c>
      <c r="D2481" s="6">
        <v>6724.8</v>
      </c>
      <c r="E2481" s="6">
        <v>104</v>
      </c>
      <c r="F2481" s="9">
        <v>0.98</v>
      </c>
      <c r="H2481" s="11"/>
      <c r="I2481" s="11"/>
      <c r="J2481" s="11"/>
    </row>
    <row r="2482" spans="1:10" ht="15.75" x14ac:dyDescent="0.3">
      <c r="A2482" s="12" t="str">
        <f>HYPERLINK("https://parts-sales.ru/parts/MAN/81326550017","81.32655-0017")</f>
        <v>81.32655-0017</v>
      </c>
      <c r="B2482" s="12" t="str">
        <f>HYPERLINK("https://parts-sales.ru/parts/MAN/81326550017","Трос для выбора передач")</f>
        <v>Трос для выбора передач</v>
      </c>
      <c r="C2482" s="3" t="s">
        <v>29</v>
      </c>
      <c r="D2482" s="4">
        <v>3866.4</v>
      </c>
      <c r="E2482" s="4">
        <v>1958</v>
      </c>
      <c r="F2482" s="8">
        <v>0.49</v>
      </c>
      <c r="H2482" s="11"/>
      <c r="I2482" s="11"/>
      <c r="J2482" s="11"/>
    </row>
    <row r="2483" spans="1:10" ht="15.75" x14ac:dyDescent="0.3">
      <c r="A2483" s="13" t="str">
        <f>HYPERLINK("https://parts-sales.ru/parts/MAN/81326556482","81.32655-6482")</f>
        <v>81.32655-6482</v>
      </c>
      <c r="B2483" s="13" t="str">
        <f>HYPERLINK("https://parts-sales.ru/parts/MAN/81326556482","Трос для выбора передач 3285")</f>
        <v>Трос для выбора передач 3285</v>
      </c>
      <c r="C2483" s="5" t="s">
        <v>29</v>
      </c>
      <c r="D2483" s="6">
        <v>36430.800000000003</v>
      </c>
      <c r="E2483" s="6">
        <v>11909</v>
      </c>
      <c r="F2483" s="9">
        <v>0.67</v>
      </c>
      <c r="H2483" s="11"/>
      <c r="I2483" s="11"/>
      <c r="J2483" s="11"/>
    </row>
    <row r="2484" spans="1:10" ht="15.75" x14ac:dyDescent="0.3">
      <c r="A2484" s="12" t="str">
        <f>HYPERLINK("https://parts-sales.ru/parts/MAN/81326556496","81.32655-6496")</f>
        <v>81.32655-6496</v>
      </c>
      <c r="B2484" s="12" t="str">
        <f>HYPERLINK("https://parts-sales.ru/parts/MAN/81326556496","Тр перекл")</f>
        <v>Тр перекл</v>
      </c>
      <c r="C2484" s="3" t="s">
        <v>29</v>
      </c>
      <c r="D2484" s="4">
        <v>36430.800000000003</v>
      </c>
      <c r="E2484" s="4">
        <v>11713</v>
      </c>
      <c r="F2484" s="8">
        <v>0.68</v>
      </c>
      <c r="H2484" s="11"/>
      <c r="I2484" s="11"/>
      <c r="J2484" s="11"/>
    </row>
    <row r="2485" spans="1:10" ht="15.75" x14ac:dyDescent="0.3">
      <c r="A2485" s="13" t="str">
        <f>HYPERLINK("https://parts-sales.ru/parts/MAN/81326556499","81.32655-6499")</f>
        <v>81.32655-6499</v>
      </c>
      <c r="B2485" s="13" t="str">
        <f>HYPERLINK("https://parts-sales.ru/parts/MAN/81326556499","Тр перекл")</f>
        <v>Тр перекл</v>
      </c>
      <c r="C2485" s="5" t="s">
        <v>29</v>
      </c>
      <c r="D2485" s="6">
        <v>38859.599999999999</v>
      </c>
      <c r="E2485" s="6">
        <v>8511</v>
      </c>
      <c r="F2485" s="9">
        <v>0.78</v>
      </c>
      <c r="H2485" s="11"/>
      <c r="I2485" s="11"/>
      <c r="J2485" s="11"/>
    </row>
    <row r="2486" spans="1:10" ht="15.75" x14ac:dyDescent="0.3">
      <c r="A2486" s="12" t="str">
        <f>HYPERLINK("https://parts-sales.ru/parts/MAN/81329010044","81.32901-0044")</f>
        <v>81.32901-0044</v>
      </c>
      <c r="B2486" s="12" t="str">
        <f>HYPERLINK("https://parts-sales.ru/parts/MAN/81329010044","Уплотнительное кольцо")</f>
        <v>Уплотнительное кольцо</v>
      </c>
      <c r="C2486" s="3" t="s">
        <v>29</v>
      </c>
      <c r="D2486" s="4">
        <v>5624.4</v>
      </c>
      <c r="E2486" s="4">
        <v>2344</v>
      </c>
      <c r="F2486" s="8">
        <v>0.57999999999999996</v>
      </c>
      <c r="H2486" s="11"/>
      <c r="I2486" s="11"/>
      <c r="J2486" s="11"/>
    </row>
    <row r="2487" spans="1:10" ht="15.75" x14ac:dyDescent="0.3">
      <c r="A2487" s="13" t="str">
        <f>HYPERLINK("https://parts-sales.ru/parts/MAN/81329010046","81.32901-0046")</f>
        <v>81.32901-0046</v>
      </c>
      <c r="B2487" s="13" t="str">
        <f>HYPERLINK("https://parts-sales.ru/parts/MAN/81329010046","Радиальное уплотнение вала")</f>
        <v>Радиальное уплотнение вала</v>
      </c>
      <c r="C2487" s="5" t="s">
        <v>29</v>
      </c>
      <c r="D2487" s="6">
        <v>1189.2</v>
      </c>
      <c r="E2487" s="6">
        <v>416</v>
      </c>
      <c r="F2487" s="9">
        <v>0.65</v>
      </c>
      <c r="H2487" s="11"/>
      <c r="I2487" s="11"/>
      <c r="J2487" s="11"/>
    </row>
    <row r="2488" spans="1:10" ht="15.75" x14ac:dyDescent="0.3">
      <c r="A2488" s="12" t="str">
        <f>HYPERLINK("https://parts-sales.ru/parts/MAN/81329010047","81.32901-0047")</f>
        <v>81.32901-0047</v>
      </c>
      <c r="B2488" s="12" t="str">
        <f>HYPERLINK("https://parts-sales.ru/parts/MAN/81329010047","Уплотнительное кольцо")</f>
        <v>Уплотнительное кольцо</v>
      </c>
      <c r="C2488" s="3" t="s">
        <v>29</v>
      </c>
      <c r="D2488" s="4">
        <v>1268.4000000000001</v>
      </c>
      <c r="E2488" s="4">
        <v>407</v>
      </c>
      <c r="F2488" s="8">
        <v>0.68</v>
      </c>
      <c r="H2488" s="11"/>
      <c r="I2488" s="11"/>
      <c r="J2488" s="11"/>
    </row>
    <row r="2489" spans="1:10" ht="15.75" x14ac:dyDescent="0.3">
      <c r="A2489" s="13" t="str">
        <f>HYPERLINK("https://parts-sales.ru/parts/MAN/81329010051","81.32901-0051")</f>
        <v>81.32901-0051</v>
      </c>
      <c r="B2489" s="13" t="str">
        <f>HYPERLINK("https://parts-sales.ru/parts/MAN/81329010051","Уплотнение")</f>
        <v>Уплотнение</v>
      </c>
      <c r="C2489" s="5" t="s">
        <v>29</v>
      </c>
      <c r="D2489" s="6">
        <v>1323.6</v>
      </c>
      <c r="E2489" s="6">
        <v>365</v>
      </c>
      <c r="F2489" s="9">
        <v>0.72</v>
      </c>
      <c r="H2489" s="11"/>
      <c r="I2489" s="11"/>
      <c r="J2489" s="11"/>
    </row>
    <row r="2490" spans="1:10" ht="15.75" x14ac:dyDescent="0.3">
      <c r="A2490" s="12" t="str">
        <f>HYPERLINK("https://parts-sales.ru/parts/MAN/81329010058","81.32901-0058")</f>
        <v>81.32901-0058</v>
      </c>
      <c r="B2490" s="12" t="str">
        <f>HYPERLINK("https://parts-sales.ru/parts/MAN/81329010058","Уплотнение")</f>
        <v>Уплотнение</v>
      </c>
      <c r="C2490" s="3" t="s">
        <v>29</v>
      </c>
      <c r="D2490" s="4">
        <v>3616.8</v>
      </c>
      <c r="E2490" s="4">
        <v>836</v>
      </c>
      <c r="F2490" s="8">
        <v>0.77</v>
      </c>
      <c r="H2490" s="11"/>
      <c r="I2490" s="11"/>
      <c r="J2490" s="11"/>
    </row>
    <row r="2491" spans="1:10" ht="15.75" x14ac:dyDescent="0.3">
      <c r="A2491" s="13" t="str">
        <f>HYPERLINK("https://parts-sales.ru/parts/MAN/81329010061","81.32901-0061")</f>
        <v>81.32901-0061</v>
      </c>
      <c r="B2491" s="13" t="str">
        <f>HYPERLINK("https://parts-sales.ru/parts/MAN/81329010061","Уплотнение")</f>
        <v>Уплотнение</v>
      </c>
      <c r="C2491" s="5" t="s">
        <v>29</v>
      </c>
      <c r="D2491" s="6">
        <v>1464.2</v>
      </c>
      <c r="E2491" s="6">
        <v>1027</v>
      </c>
      <c r="F2491" s="9">
        <v>0.3</v>
      </c>
      <c r="H2491" s="11"/>
      <c r="I2491" s="11"/>
      <c r="J2491" s="11"/>
    </row>
    <row r="2492" spans="1:10" ht="15.75" x14ac:dyDescent="0.3">
      <c r="A2492" s="12" t="str">
        <f>HYPERLINK("https://parts-sales.ru/parts/MAN/81329010062","81.32901-0062")</f>
        <v>81.32901-0062</v>
      </c>
      <c r="B2492" s="12" t="str">
        <f>HYPERLINK("https://parts-sales.ru/parts/MAN/81329010062","Уплотнение")</f>
        <v>Уплотнение</v>
      </c>
      <c r="C2492" s="3" t="s">
        <v>29</v>
      </c>
      <c r="D2492" s="4">
        <v>5895.6</v>
      </c>
      <c r="E2492" s="4">
        <v>2755</v>
      </c>
      <c r="F2492" s="8">
        <v>0.53</v>
      </c>
      <c r="H2492" s="11"/>
      <c r="I2492" s="11"/>
      <c r="J2492" s="11"/>
    </row>
    <row r="2493" spans="1:10" ht="15.75" x14ac:dyDescent="0.3">
      <c r="A2493" s="13" t="str">
        <f>HYPERLINK("https://parts-sales.ru/parts/MAN/81329030200","81.32903-0200")</f>
        <v>81.32903-0200</v>
      </c>
      <c r="B2493" s="13" t="str">
        <f>HYPERLINK("https://parts-sales.ru/parts/MAN/81329030200","Уплотнение")</f>
        <v>Уплотнение</v>
      </c>
      <c r="C2493" s="5" t="s">
        <v>29</v>
      </c>
      <c r="D2493" s="6">
        <v>6327.6</v>
      </c>
      <c r="E2493" s="6">
        <v>1329</v>
      </c>
      <c r="F2493" s="9">
        <v>0.79</v>
      </c>
      <c r="H2493" s="11"/>
      <c r="I2493" s="11"/>
      <c r="J2493" s="11"/>
    </row>
    <row r="2494" spans="1:10" ht="15.75" x14ac:dyDescent="0.3">
      <c r="A2494" s="12" t="str">
        <f>HYPERLINK("https://parts-sales.ru/parts/MAN/81329030250","81.32903-0250")</f>
        <v>81.32903-0250</v>
      </c>
      <c r="B2494" s="12" t="str">
        <f>HYPERLINK("https://parts-sales.ru/parts/MAN/81329030250","Профилир. уплотнительн. кольцо")</f>
        <v>Профилир. уплотнительн. кольцо</v>
      </c>
      <c r="C2494" s="3" t="s">
        <v>29</v>
      </c>
      <c r="D2494" s="4">
        <v>1164</v>
      </c>
      <c r="E2494" s="4">
        <v>329</v>
      </c>
      <c r="F2494" s="8">
        <v>0.72</v>
      </c>
      <c r="H2494" s="11"/>
      <c r="I2494" s="11"/>
      <c r="J2494" s="11"/>
    </row>
    <row r="2495" spans="1:10" ht="15.75" x14ac:dyDescent="0.3">
      <c r="A2495" s="13" t="str">
        <f>HYPERLINK("https://parts-sales.ru/parts/MAN/81329030261","81.32903-0261")</f>
        <v>81.32903-0261</v>
      </c>
      <c r="B2495" s="13" t="str">
        <f>HYPERLINK("https://parts-sales.ru/parts/MAN/81329030261","Уплотнение")</f>
        <v>Уплотнение</v>
      </c>
      <c r="C2495" s="5" t="s">
        <v>29</v>
      </c>
      <c r="D2495" s="6">
        <v>1429.2</v>
      </c>
      <c r="E2495" s="6">
        <v>342</v>
      </c>
      <c r="F2495" s="9">
        <v>0.76</v>
      </c>
      <c r="H2495" s="11"/>
      <c r="I2495" s="11"/>
      <c r="J2495" s="11"/>
    </row>
    <row r="2496" spans="1:10" ht="15.75" x14ac:dyDescent="0.3">
      <c r="A2496" s="12" t="str">
        <f>HYPERLINK("https://parts-sales.ru/parts/MAN/81329030262","81.32903-0262")</f>
        <v>81.32903-0262</v>
      </c>
      <c r="B2496" s="12" t="str">
        <f>HYPERLINK("https://parts-sales.ru/parts/MAN/81329030262","Уплотнение")</f>
        <v>Уплотнение</v>
      </c>
      <c r="C2496" s="3" t="s">
        <v>29</v>
      </c>
      <c r="D2496" s="4">
        <v>6766.8</v>
      </c>
      <c r="E2496" s="4">
        <v>1347</v>
      </c>
      <c r="F2496" s="8">
        <v>0.8</v>
      </c>
      <c r="H2496" s="11"/>
      <c r="I2496" s="11"/>
      <c r="J2496" s="11"/>
    </row>
    <row r="2497" spans="1:10" ht="15.75" x14ac:dyDescent="0.3">
      <c r="A2497" s="13" t="str">
        <f>HYPERLINK("https://parts-sales.ru/parts/MAN/81329030275","81.32903-0275")</f>
        <v>81.32903-0275</v>
      </c>
      <c r="B2497" s="13" t="str">
        <f>HYPERLINK("https://parts-sales.ru/parts/MAN/81329030275","Уплотнение")</f>
        <v>Уплотнение</v>
      </c>
      <c r="C2497" s="5" t="s">
        <v>29</v>
      </c>
      <c r="D2497" s="6">
        <v>3128.4</v>
      </c>
      <c r="E2497" s="6">
        <v>664</v>
      </c>
      <c r="F2497" s="9">
        <v>0.79</v>
      </c>
      <c r="H2497" s="11"/>
      <c r="I2497" s="11"/>
      <c r="J2497" s="11"/>
    </row>
    <row r="2498" spans="1:10" ht="15.75" x14ac:dyDescent="0.3">
      <c r="A2498" s="12" t="str">
        <f>HYPERLINK("https://parts-sales.ru/parts/MAN/81329030279","81.32903-0279")</f>
        <v>81.32903-0279</v>
      </c>
      <c r="B2498" s="12" t="str">
        <f>HYPERLINK("https://parts-sales.ru/parts/MAN/81329030279","Уплотнение")</f>
        <v>Уплотнение</v>
      </c>
      <c r="C2498" s="3" t="s">
        <v>29</v>
      </c>
      <c r="D2498" s="4">
        <v>3733.2</v>
      </c>
      <c r="E2498" s="4">
        <v>299</v>
      </c>
      <c r="F2498" s="8">
        <v>0.92</v>
      </c>
      <c r="H2498" s="11"/>
      <c r="I2498" s="11"/>
      <c r="J2498" s="11"/>
    </row>
    <row r="2499" spans="1:10" ht="15.75" x14ac:dyDescent="0.3">
      <c r="A2499" s="13" t="str">
        <f>HYPERLINK("https://parts-sales.ru/parts/MAN/81329030288","81.32903-0288")</f>
        <v>81.32903-0288</v>
      </c>
      <c r="B2499" s="13" t="str">
        <f>HYPERLINK("https://parts-sales.ru/parts/MAN/81329030288","Уплотнение")</f>
        <v>Уплотнение</v>
      </c>
      <c r="C2499" s="5" t="s">
        <v>29</v>
      </c>
      <c r="D2499" s="6">
        <v>5032.8</v>
      </c>
      <c r="E2499" s="6">
        <v>1406</v>
      </c>
      <c r="F2499" s="9">
        <v>0.72</v>
      </c>
      <c r="H2499" s="11"/>
      <c r="I2499" s="11"/>
      <c r="J2499" s="11"/>
    </row>
    <row r="2500" spans="1:10" ht="15.75" x14ac:dyDescent="0.3">
      <c r="A2500" s="12" t="str">
        <f>HYPERLINK("https://parts-sales.ru/parts/MAN/81329030297","81.32903-0297")</f>
        <v>81.32903-0297</v>
      </c>
      <c r="B2500" s="12" t="str">
        <f>HYPERLINK("https://parts-sales.ru/parts/MAN/81329030297","Уплотнение")</f>
        <v>Уплотнение</v>
      </c>
      <c r="C2500" s="3" t="s">
        <v>29</v>
      </c>
      <c r="D2500" s="4">
        <v>14037.6</v>
      </c>
      <c r="E2500" s="4">
        <v>2767</v>
      </c>
      <c r="F2500" s="8">
        <v>0.8</v>
      </c>
      <c r="H2500" s="11"/>
      <c r="I2500" s="11"/>
      <c r="J2500" s="11"/>
    </row>
    <row r="2501" spans="1:10" ht="15.75" x14ac:dyDescent="0.3">
      <c r="A2501" s="13" t="str">
        <f>HYPERLINK("https://parts-sales.ru/parts/MAN/81329030302","81.32903-0302")</f>
        <v>81.32903-0302</v>
      </c>
      <c r="B2501" s="13" t="str">
        <f>HYPERLINK("https://parts-sales.ru/parts/MAN/81329030302","Уплотнение")</f>
        <v>Уплотнение</v>
      </c>
      <c r="C2501" s="5" t="s">
        <v>29</v>
      </c>
      <c r="D2501" s="6">
        <v>4346.3999999999996</v>
      </c>
      <c r="E2501" s="6">
        <v>894</v>
      </c>
      <c r="F2501" s="9">
        <v>0.79</v>
      </c>
      <c r="H2501" s="11"/>
      <c r="I2501" s="11"/>
      <c r="J2501" s="11"/>
    </row>
    <row r="2502" spans="1:10" ht="15.75" x14ac:dyDescent="0.3">
      <c r="A2502" s="12" t="str">
        <f>HYPERLINK("https://parts-sales.ru/parts/MAN/81329030304","81.32903-0304")</f>
        <v>81.32903-0304</v>
      </c>
      <c r="B2502" s="12" t="str">
        <f>HYPERLINK("https://parts-sales.ru/parts/MAN/81329030304","Плоское уплотнение")</f>
        <v>Плоское уплотнение</v>
      </c>
      <c r="C2502" s="3" t="s">
        <v>29</v>
      </c>
      <c r="D2502" s="4">
        <v>57544.800000000003</v>
      </c>
      <c r="E2502" s="4">
        <v>10489</v>
      </c>
      <c r="F2502" s="8">
        <v>0.82</v>
      </c>
      <c r="H2502" s="11"/>
      <c r="I2502" s="11"/>
      <c r="J2502" s="11"/>
    </row>
    <row r="2503" spans="1:10" ht="15.75" x14ac:dyDescent="0.3">
      <c r="A2503" s="13" t="str">
        <f>HYPERLINK("https://parts-sales.ru/parts/MAN/81329030310","81.32903-0310")</f>
        <v>81.32903-0310</v>
      </c>
      <c r="B2503" s="13" t="str">
        <f>HYPERLINK("https://parts-sales.ru/parts/MAN/81329030310","Уплотнение")</f>
        <v>Уплотнение</v>
      </c>
      <c r="C2503" s="5" t="s">
        <v>29</v>
      </c>
      <c r="D2503" s="6">
        <v>1140</v>
      </c>
      <c r="E2503" s="6">
        <v>485</v>
      </c>
      <c r="F2503" s="9">
        <v>0.56999999999999995</v>
      </c>
      <c r="H2503" s="11"/>
      <c r="I2503" s="11"/>
      <c r="J2503" s="11"/>
    </row>
    <row r="2504" spans="1:10" ht="15.75" x14ac:dyDescent="0.3">
      <c r="A2504" s="12" t="str">
        <f>HYPERLINK("https://parts-sales.ru/parts/MAN/81329030311","81.32903-0311")</f>
        <v>81.32903-0311</v>
      </c>
      <c r="B2504" s="12" t="str">
        <f>HYPERLINK("https://parts-sales.ru/parts/MAN/81329030311","Уплотнение")</f>
        <v>Уплотнение</v>
      </c>
      <c r="C2504" s="3" t="s">
        <v>29</v>
      </c>
      <c r="D2504" s="4">
        <v>984</v>
      </c>
      <c r="E2504" s="4">
        <v>271</v>
      </c>
      <c r="F2504" s="8">
        <v>0.72</v>
      </c>
      <c r="H2504" s="11"/>
      <c r="I2504" s="11"/>
      <c r="J2504" s="11"/>
    </row>
    <row r="2505" spans="1:10" ht="15.75" x14ac:dyDescent="0.3">
      <c r="A2505" s="13" t="str">
        <f>HYPERLINK("https://parts-sales.ru/parts/MAN/81329030312","81.32903-0312")</f>
        <v>81.32903-0312</v>
      </c>
      <c r="B2505" s="13" t="str">
        <f>HYPERLINK("https://parts-sales.ru/parts/MAN/81329030312","Уплотнение")</f>
        <v>Уплотнение</v>
      </c>
      <c r="C2505" s="5" t="s">
        <v>29</v>
      </c>
      <c r="D2505" s="6">
        <v>808.8</v>
      </c>
      <c r="E2505" s="6">
        <v>202</v>
      </c>
      <c r="F2505" s="9">
        <v>0.75</v>
      </c>
      <c r="H2505" s="11"/>
      <c r="I2505" s="11"/>
      <c r="J2505" s="11"/>
    </row>
    <row r="2506" spans="1:10" ht="15.75" x14ac:dyDescent="0.3">
      <c r="A2506" s="12" t="str">
        <f>HYPERLINK("https://parts-sales.ru/parts/MAN/81329030314","81.32903-0314")</f>
        <v>81.32903-0314</v>
      </c>
      <c r="B2506" s="12" t="str">
        <f>HYPERLINK("https://parts-sales.ru/parts/MAN/81329030314","Уплотнение")</f>
        <v>Уплотнение</v>
      </c>
      <c r="C2506" s="3" t="s">
        <v>29</v>
      </c>
      <c r="D2506" s="4">
        <v>4740</v>
      </c>
      <c r="E2506" s="4">
        <v>1097</v>
      </c>
      <c r="F2506" s="8">
        <v>0.77</v>
      </c>
      <c r="H2506" s="11"/>
      <c r="I2506" s="11"/>
      <c r="J2506" s="11"/>
    </row>
    <row r="2507" spans="1:10" ht="15.75" x14ac:dyDescent="0.3">
      <c r="A2507" s="13" t="str">
        <f>HYPERLINK("https://parts-sales.ru/parts/MAN/81329030315","81.32903-0315")</f>
        <v>81.32903-0315</v>
      </c>
      <c r="B2507" s="13" t="str">
        <f>HYPERLINK("https://parts-sales.ru/parts/MAN/81329030315","Уплотнение")</f>
        <v>Уплотнение</v>
      </c>
      <c r="C2507" s="5" t="s">
        <v>29</v>
      </c>
      <c r="D2507" s="6">
        <v>1341.6</v>
      </c>
      <c r="E2507" s="6">
        <v>464</v>
      </c>
      <c r="F2507" s="9">
        <v>0.65</v>
      </c>
      <c r="H2507" s="11"/>
      <c r="I2507" s="11"/>
      <c r="J2507" s="11"/>
    </row>
    <row r="2508" spans="1:10" ht="15.75" x14ac:dyDescent="0.3">
      <c r="A2508" s="12" t="str">
        <f>HYPERLINK("https://parts-sales.ru/parts/MAN/81329030317","81.32903-0317")</f>
        <v>81.32903-0317</v>
      </c>
      <c r="B2508" s="12" t="str">
        <f>HYPERLINK("https://parts-sales.ru/parts/MAN/81329030317","Уплотнение")</f>
        <v>Уплотнение</v>
      </c>
      <c r="C2508" s="3" t="s">
        <v>29</v>
      </c>
      <c r="D2508" s="4">
        <v>3178.8</v>
      </c>
      <c r="E2508" s="4">
        <v>1043</v>
      </c>
      <c r="F2508" s="8">
        <v>0.67</v>
      </c>
      <c r="H2508" s="11"/>
      <c r="I2508" s="11"/>
      <c r="J2508" s="11"/>
    </row>
    <row r="2509" spans="1:10" ht="15.75" x14ac:dyDescent="0.3">
      <c r="A2509" s="13" t="str">
        <f>HYPERLINK("https://parts-sales.ru/parts/MAN/81329030323","81.32903-0323")</f>
        <v>81.32903-0323</v>
      </c>
      <c r="B2509" s="13" t="str">
        <f>HYPERLINK("https://parts-sales.ru/parts/MAN/81329030323","Уплотнение")</f>
        <v>Уплотнение</v>
      </c>
      <c r="C2509" s="5" t="s">
        <v>29</v>
      </c>
      <c r="D2509" s="6">
        <v>8079.6</v>
      </c>
      <c r="E2509" s="6">
        <v>2824</v>
      </c>
      <c r="F2509" s="9">
        <v>0.65</v>
      </c>
      <c r="H2509" s="11"/>
      <c r="I2509" s="11"/>
      <c r="J2509" s="11"/>
    </row>
    <row r="2510" spans="1:10" ht="15.75" x14ac:dyDescent="0.3">
      <c r="A2510" s="12" t="str">
        <f>HYPERLINK("https://parts-sales.ru/parts/MAN/81329030324","81.32903-0324")</f>
        <v>81.32903-0324</v>
      </c>
      <c r="B2510" s="12" t="str">
        <f>HYPERLINK("https://parts-sales.ru/parts/MAN/81329030324","Уплотнение")</f>
        <v>Уплотнение</v>
      </c>
      <c r="C2510" s="3" t="s">
        <v>29</v>
      </c>
      <c r="D2510" s="4">
        <v>12182.4</v>
      </c>
      <c r="E2510" s="4">
        <v>3633</v>
      </c>
      <c r="F2510" s="8">
        <v>0.7</v>
      </c>
      <c r="H2510" s="11"/>
      <c r="I2510" s="11"/>
      <c r="J2510" s="11"/>
    </row>
    <row r="2511" spans="1:10" ht="15.75" x14ac:dyDescent="0.3">
      <c r="A2511" s="13" t="str">
        <f>HYPERLINK("https://parts-sales.ru/parts/MAN/81339010154","81.33901-0154")</f>
        <v>81.33901-0154</v>
      </c>
      <c r="B2511" s="13" t="str">
        <f>HYPERLINK("https://parts-sales.ru/parts/MAN/81339010154","Уплотнение")</f>
        <v>Уплотнение</v>
      </c>
      <c r="C2511" s="5" t="s">
        <v>29</v>
      </c>
      <c r="D2511" s="6">
        <v>2458.8000000000002</v>
      </c>
      <c r="E2511" s="6">
        <v>548</v>
      </c>
      <c r="F2511" s="9">
        <v>0.78</v>
      </c>
      <c r="H2511" s="11"/>
      <c r="I2511" s="11"/>
      <c r="J2511" s="11"/>
    </row>
    <row r="2512" spans="1:10" ht="15.75" x14ac:dyDescent="0.3">
      <c r="A2512" s="12" t="str">
        <f>HYPERLINK("https://parts-sales.ru/parts/MAN/81350037722","81.35003-7722")</f>
        <v>81.35003-7722</v>
      </c>
      <c r="B2512" s="12" t="str">
        <f>HYPERLINK("https://parts-sales.ru/parts/MAN/81350037722","Задний мост HY-1350-15")</f>
        <v>Задний мост HY-1350-15</v>
      </c>
      <c r="C2512" s="3" t="s">
        <v>30</v>
      </c>
      <c r="D2512" s="4">
        <v>839568.95</v>
      </c>
      <c r="E2512" s="4">
        <v>223171</v>
      </c>
      <c r="F2512" s="8">
        <v>0.73</v>
      </c>
      <c r="H2512" s="11"/>
      <c r="I2512" s="11"/>
      <c r="J2512" s="11"/>
    </row>
    <row r="2513" spans="1:10" ht="15.75" x14ac:dyDescent="0.3">
      <c r="A2513" s="13" t="str">
        <f>HYPERLINK("https://parts-sales.ru/parts/MAN/81350109168","81.35010-9168")</f>
        <v>81.35010-9168</v>
      </c>
      <c r="B2513" s="13" t="str">
        <f>HYPERLINK("https://parts-sales.ru/parts/MAN/81350109168","Главная передача IK=3,700 Z=37:10 KR155")</f>
        <v>Главная передача IK=3,700 Z=37:10 KR155</v>
      </c>
      <c r="C2513" s="5" t="s">
        <v>30</v>
      </c>
      <c r="D2513" s="6">
        <v>596715.79</v>
      </c>
      <c r="E2513" s="6">
        <v>258302</v>
      </c>
      <c r="F2513" s="9">
        <v>0.56999999999999995</v>
      </c>
      <c r="H2513" s="11"/>
      <c r="I2513" s="11"/>
      <c r="J2513" s="11"/>
    </row>
    <row r="2514" spans="1:10" ht="15.75" x14ac:dyDescent="0.3">
      <c r="A2514" s="12" t="str">
        <f>HYPERLINK("https://parts-sales.ru/parts/MAN/81350109281","81.35010-9281")</f>
        <v>81.35010-9281</v>
      </c>
      <c r="B2514" s="12" t="str">
        <f>HYPERLINK("https://parts-sales.ru/parts/MAN/81350109281","Главная передача IK=1,333 Z=28:21 KR150")</f>
        <v>Главная передача IK=1,333 Z=28:21 KR150</v>
      </c>
      <c r="C2514" s="3" t="s">
        <v>30</v>
      </c>
      <c r="D2514" s="4">
        <v>1318525.2</v>
      </c>
      <c r="E2514" s="4">
        <v>501847</v>
      </c>
      <c r="F2514" s="8">
        <v>0.62</v>
      </c>
      <c r="H2514" s="11"/>
      <c r="I2514" s="11"/>
      <c r="J2514" s="11"/>
    </row>
    <row r="2515" spans="1:10" ht="15.75" x14ac:dyDescent="0.3">
      <c r="A2515" s="13" t="str">
        <f>HYPERLINK("https://parts-sales.ru/parts/MAN/81351050070","81.35105-0070")</f>
        <v>81.35105-0070</v>
      </c>
      <c r="B2515" s="13" t="str">
        <f>HYPERLINK("https://parts-sales.ru/parts/MAN/81351050070","Лист маслосборника")</f>
        <v>Лист маслосборника</v>
      </c>
      <c r="C2515" s="5" t="s">
        <v>30</v>
      </c>
      <c r="D2515" s="6">
        <v>3138</v>
      </c>
      <c r="E2515" s="6">
        <v>1015</v>
      </c>
      <c r="F2515" s="9">
        <v>0.68</v>
      </c>
      <c r="H2515" s="11"/>
      <c r="I2515" s="11"/>
      <c r="J2515" s="11"/>
    </row>
    <row r="2516" spans="1:10" ht="15.75" x14ac:dyDescent="0.3">
      <c r="A2516" s="12" t="str">
        <f>HYPERLINK("https://parts-sales.ru/parts/MAN/81351060042","81.35106-0042")</f>
        <v>81.35106-0042</v>
      </c>
      <c r="B2516" s="12" t="str">
        <f>HYPERLINK("https://parts-sales.ru/parts/MAN/81351060042","Колесо вала моста Z=14")</f>
        <v>Колесо вала моста Z=14</v>
      </c>
      <c r="C2516" s="3" t="s">
        <v>30</v>
      </c>
      <c r="D2516" s="4">
        <v>40172.400000000001</v>
      </c>
      <c r="E2516" s="4">
        <v>7516</v>
      </c>
      <c r="F2516" s="8">
        <v>0.81</v>
      </c>
      <c r="H2516" s="11"/>
      <c r="I2516" s="11"/>
      <c r="J2516" s="11"/>
    </row>
    <row r="2517" spans="1:10" ht="15.75" x14ac:dyDescent="0.3">
      <c r="A2517" s="13" t="str">
        <f>HYPERLINK("https://parts-sales.ru/parts/MAN/81351076036","81.35107-6036")</f>
        <v>81.35107-6036</v>
      </c>
      <c r="B2517" s="13" t="str">
        <f>HYPERLINK("https://parts-sales.ru/parts/MAN/81351076036","Рем компл главн перед HPD-1353 I=1,095/")</f>
        <v>Рем компл главн перед HPD-1353 I=1,095/</v>
      </c>
      <c r="C2517" s="5" t="s">
        <v>30</v>
      </c>
      <c r="D2517" s="6">
        <v>154433.29999999999</v>
      </c>
      <c r="E2517" s="6">
        <v>72069</v>
      </c>
      <c r="F2517" s="9">
        <v>0.53</v>
      </c>
      <c r="H2517" s="11"/>
      <c r="I2517" s="11"/>
      <c r="J2517" s="11"/>
    </row>
    <row r="2518" spans="1:10" ht="15.75" x14ac:dyDescent="0.3">
      <c r="A2518" s="12" t="str">
        <f>HYPERLINK("https://parts-sales.ru/parts/MAN/81351076048","81.35107-6048")</f>
        <v>81.35107-6048</v>
      </c>
      <c r="B2518" s="12" t="str">
        <f>HYPERLINK("https://parts-sales.ru/parts/MAN/81351076048","Рем компл главн перед HPD1353/HPD1370")</f>
        <v>Рем компл главн перед HPD1353/HPD1370</v>
      </c>
      <c r="C2518" s="3" t="s">
        <v>30</v>
      </c>
      <c r="D2518" s="4">
        <v>168100.8</v>
      </c>
      <c r="E2518" s="4">
        <v>70625</v>
      </c>
      <c r="F2518" s="8">
        <v>0.57999999999999996</v>
      </c>
      <c r="H2518" s="11"/>
      <c r="I2518" s="11"/>
      <c r="J2518" s="11"/>
    </row>
    <row r="2519" spans="1:10" ht="15.75" x14ac:dyDescent="0.3">
      <c r="A2519" s="13" t="str">
        <f>HYPERLINK("https://parts-sales.ru/parts/MAN/81351110026","81.35111-0026")</f>
        <v>81.35111-0026</v>
      </c>
      <c r="B2519" s="13" t="str">
        <f>HYPERLINK("https://parts-sales.ru/parts/MAN/81351110026","Полое колесо I=3,0/4,0")</f>
        <v>Полое колесо I=3,0/4,0</v>
      </c>
      <c r="C2519" s="5" t="s">
        <v>30</v>
      </c>
      <c r="D2519" s="6">
        <v>74947.97</v>
      </c>
      <c r="E2519" s="6">
        <v>49965</v>
      </c>
      <c r="F2519" s="9">
        <v>0.33</v>
      </c>
      <c r="H2519" s="11"/>
      <c r="I2519" s="11"/>
      <c r="J2519" s="11"/>
    </row>
    <row r="2520" spans="1:10" ht="15.75" x14ac:dyDescent="0.3">
      <c r="A2520" s="12" t="str">
        <f>HYPERLINK("https://parts-sales.ru/parts/MAN/81351126021","81.35112-6021")</f>
        <v>81.35112-6021</v>
      </c>
      <c r="B2520" s="12" t="str">
        <f>HYPERLINK("https://parts-sales.ru/parts/MAN/81351126021","Комплект планетарных колес I=3,0")</f>
        <v>Комплект планетарных колес I=3,0</v>
      </c>
      <c r="C2520" s="3" t="s">
        <v>30</v>
      </c>
      <c r="D2520" s="4">
        <v>39470.53</v>
      </c>
      <c r="E2520" s="4">
        <v>25835</v>
      </c>
      <c r="F2520" s="8">
        <v>0.35</v>
      </c>
      <c r="H2520" s="11"/>
      <c r="I2520" s="11"/>
      <c r="J2520" s="11"/>
    </row>
    <row r="2521" spans="1:10" ht="15.75" x14ac:dyDescent="0.3">
      <c r="A2521" s="13" t="str">
        <f>HYPERLINK("https://parts-sales.ru/parts/MAN/81351126022","81.35112-6022")</f>
        <v>81.35112-6022</v>
      </c>
      <c r="B2521" s="13" t="str">
        <f>HYPERLINK("https://parts-sales.ru/parts/MAN/81351126022","Комплект планетарных колес I=3,0")</f>
        <v>Комплект планетарных колес I=3,0</v>
      </c>
      <c r="C2521" s="5" t="s">
        <v>30</v>
      </c>
      <c r="D2521" s="6">
        <v>58618.58</v>
      </c>
      <c r="E2521" s="6">
        <v>39079</v>
      </c>
      <c r="F2521" s="9">
        <v>0.33</v>
      </c>
      <c r="H2521" s="11"/>
      <c r="I2521" s="11"/>
      <c r="J2521" s="11"/>
    </row>
    <row r="2522" spans="1:10" ht="15.75" x14ac:dyDescent="0.3">
      <c r="A2522" s="12" t="str">
        <f>HYPERLINK("https://parts-sales.ru/parts/MAN/81351126023","81.35112-6023")</f>
        <v>81.35112-6023</v>
      </c>
      <c r="B2522" s="12" t="str">
        <f>HYPERLINK("https://parts-sales.ru/parts/MAN/81351126023","Комплект планетарных колес I=4,0")</f>
        <v>Комплект планетарных колес I=4,0</v>
      </c>
      <c r="C2522" s="3" t="s">
        <v>30</v>
      </c>
      <c r="D2522" s="4">
        <v>56841.34</v>
      </c>
      <c r="E2522" s="4">
        <v>10904</v>
      </c>
      <c r="F2522" s="8">
        <v>0.81</v>
      </c>
      <c r="H2522" s="11"/>
      <c r="I2522" s="11"/>
      <c r="J2522" s="11"/>
    </row>
    <row r="2523" spans="1:10" ht="15.75" x14ac:dyDescent="0.3">
      <c r="A2523" s="13" t="str">
        <f>HYPERLINK("https://parts-sales.ru/parts/MAN/81351126024","81.35112-6024")</f>
        <v>81.35112-6024</v>
      </c>
      <c r="B2523" s="13" t="str">
        <f>HYPERLINK("https://parts-sales.ru/parts/MAN/81351126024","Комплект планетарных колес I=4,0")</f>
        <v>Комплект планетарных колес I=4,0</v>
      </c>
      <c r="C2523" s="5" t="s">
        <v>30</v>
      </c>
      <c r="D2523" s="6">
        <v>129420</v>
      </c>
      <c r="E2523" s="6">
        <v>29230</v>
      </c>
      <c r="F2523" s="9">
        <v>0.77</v>
      </c>
      <c r="H2523" s="11"/>
      <c r="I2523" s="11"/>
      <c r="J2523" s="11"/>
    </row>
    <row r="2524" spans="1:10" ht="15.75" x14ac:dyDescent="0.3">
      <c r="A2524" s="12" t="str">
        <f>HYPERLINK("https://parts-sales.ru/parts/MAN/81351130048","81.35113-0048")</f>
        <v>81.35113-0048</v>
      </c>
      <c r="B2524" s="12" t="str">
        <f>HYPERLINK("https://parts-sales.ru/parts/MAN/81351130048","Солнечное колесо I=3,0-Z=30-TR300")</f>
        <v>Солнечное колесо I=3,0-Z=30-TR300</v>
      </c>
      <c r="C2524" s="3" t="s">
        <v>30</v>
      </c>
      <c r="D2524" s="4">
        <v>80736</v>
      </c>
      <c r="E2524" s="4">
        <v>13214</v>
      </c>
      <c r="F2524" s="8">
        <v>0.84</v>
      </c>
      <c r="H2524" s="11"/>
      <c r="I2524" s="11"/>
      <c r="J2524" s="11"/>
    </row>
    <row r="2525" spans="1:10" ht="15.75" x14ac:dyDescent="0.3">
      <c r="A2525" s="13" t="str">
        <f>HYPERLINK("https://parts-sales.ru/parts/MAN/81351130049","81.35113-0049")</f>
        <v>81.35113-0049</v>
      </c>
      <c r="B2525" s="13" t="str">
        <f>HYPERLINK("https://parts-sales.ru/parts/MAN/81351130049","Солнечное колесо I=3,0-Z=30-TR300")</f>
        <v>Солнечное колесо I=3,0-Z=30-TR300</v>
      </c>
      <c r="C2525" s="5" t="s">
        <v>30</v>
      </c>
      <c r="D2525" s="6">
        <v>68920.800000000003</v>
      </c>
      <c r="E2525" s="6">
        <v>14878</v>
      </c>
      <c r="F2525" s="9">
        <v>0.78</v>
      </c>
      <c r="H2525" s="11"/>
      <c r="I2525" s="11"/>
      <c r="J2525" s="11"/>
    </row>
    <row r="2526" spans="1:10" ht="15.75" x14ac:dyDescent="0.3">
      <c r="A2526" s="12" t="str">
        <f>HYPERLINK("https://parts-sales.ru/parts/MAN/81351130054","81.35113-0054")</f>
        <v>81.35113-0054</v>
      </c>
      <c r="B2526" s="12" t="str">
        <f>HYPERLINK("https://parts-sales.ru/parts/MAN/81351130054","Солнечное колесо I=4,0-Z=20-TR300")</f>
        <v>Солнечное колесо I=4,0-Z=20-TR300</v>
      </c>
      <c r="C2526" s="3" t="s">
        <v>30</v>
      </c>
      <c r="D2526" s="4">
        <v>68920.800000000003</v>
      </c>
      <c r="E2526" s="4">
        <v>14937</v>
      </c>
      <c r="F2526" s="8">
        <v>0.78</v>
      </c>
      <c r="H2526" s="11"/>
      <c r="I2526" s="11"/>
      <c r="J2526" s="11"/>
    </row>
    <row r="2527" spans="1:10" ht="15.75" x14ac:dyDescent="0.3">
      <c r="A2527" s="13" t="str">
        <f>HYPERLINK("https://parts-sales.ru/parts/MAN/81351130055","81.35113-0055")</f>
        <v>81.35113-0055</v>
      </c>
      <c r="B2527" s="13" t="str">
        <f>HYPERLINK("https://parts-sales.ru/parts/MAN/81351130055","Солнечное колесо I=4,0-Z=20-TR300")</f>
        <v>Солнечное колесо I=4,0-Z=20-TR300</v>
      </c>
      <c r="C2527" s="5" t="s">
        <v>30</v>
      </c>
      <c r="D2527" s="6">
        <v>68920.800000000003</v>
      </c>
      <c r="E2527" s="6">
        <v>20653</v>
      </c>
      <c r="F2527" s="9">
        <v>0.7</v>
      </c>
      <c r="H2527" s="11"/>
      <c r="I2527" s="11"/>
      <c r="J2527" s="11"/>
    </row>
    <row r="2528" spans="1:10" ht="15.75" x14ac:dyDescent="0.3">
      <c r="A2528" s="12" t="str">
        <f>HYPERLINK("https://parts-sales.ru/parts/MAN/81351140126","81.35114-0126")</f>
        <v>81.35114-0126</v>
      </c>
      <c r="B2528" s="12" t="str">
        <f>HYPERLINK("https://parts-sales.ru/parts/MAN/81351140126","Колокольная ступица I=3,0")</f>
        <v>Колокольная ступица I=3,0</v>
      </c>
      <c r="C2528" s="3" t="s">
        <v>30</v>
      </c>
      <c r="D2528" s="4">
        <v>153785.81</v>
      </c>
      <c r="E2528" s="4">
        <v>102525</v>
      </c>
      <c r="F2528" s="8">
        <v>0.33</v>
      </c>
      <c r="H2528" s="11"/>
      <c r="I2528" s="11"/>
      <c r="J2528" s="11"/>
    </row>
    <row r="2529" spans="1:10" ht="15.75" x14ac:dyDescent="0.3">
      <c r="A2529" s="13" t="str">
        <f>HYPERLINK("https://parts-sales.ru/parts/MAN/81351140132","81.35114-0132")</f>
        <v>81.35114-0132</v>
      </c>
      <c r="B2529" s="13" t="str">
        <f>HYPERLINK("https://parts-sales.ru/parts/MAN/81351140132","Кронштейн полого колеса правый зубчатый")</f>
        <v>Кронштейн полого колеса правый зубчатый</v>
      </c>
      <c r="C2529" s="5" t="s">
        <v>30</v>
      </c>
      <c r="D2529" s="6">
        <v>52300.800000000003</v>
      </c>
      <c r="E2529" s="6">
        <v>11332</v>
      </c>
      <c r="F2529" s="9">
        <v>0.78</v>
      </c>
      <c r="H2529" s="11"/>
      <c r="I2529" s="11"/>
      <c r="J2529" s="11"/>
    </row>
    <row r="2530" spans="1:10" ht="15.75" x14ac:dyDescent="0.3">
      <c r="A2530" s="12" t="str">
        <f>HYPERLINK("https://parts-sales.ru/parts/MAN/81351140135","81.35114-0135")</f>
        <v>81.35114-0135</v>
      </c>
      <c r="B2530" s="12" t="str">
        <f>HYPERLINK("https://parts-sales.ru/parts/MAN/81351140135","Колокольная ступица I=4,0")</f>
        <v>Колокольная ступица I=4,0</v>
      </c>
      <c r="C2530" s="3" t="s">
        <v>30</v>
      </c>
      <c r="D2530" s="4">
        <v>208053.6</v>
      </c>
      <c r="E2530" s="4">
        <v>47379</v>
      </c>
      <c r="F2530" s="8">
        <v>0.77</v>
      </c>
      <c r="H2530" s="11"/>
      <c r="I2530" s="11"/>
      <c r="J2530" s="11"/>
    </row>
    <row r="2531" spans="1:10" ht="15.75" x14ac:dyDescent="0.3">
      <c r="A2531" s="13" t="str">
        <f>HYPERLINK("https://parts-sales.ru/parts/MAN/81351140157","81.35114-0157")</f>
        <v>81.35114-0157</v>
      </c>
      <c r="B2531" s="13" t="str">
        <f>HYPERLINK("https://parts-sales.ru/parts/MAN/81351140157","Кронштейн полого колеса левый зубчатый")</f>
        <v>Кронштейн полого колеса левый зубчатый</v>
      </c>
      <c r="C2531" s="5" t="s">
        <v>30</v>
      </c>
      <c r="D2531" s="6">
        <v>29757.05</v>
      </c>
      <c r="E2531" s="6">
        <v>12451</v>
      </c>
      <c r="F2531" s="9">
        <v>0.57999999999999996</v>
      </c>
      <c r="H2531" s="11"/>
      <c r="I2531" s="11"/>
      <c r="J2531" s="11"/>
    </row>
    <row r="2532" spans="1:10" ht="15.75" x14ac:dyDescent="0.3">
      <c r="A2532" s="12" t="str">
        <f>HYPERLINK("https://parts-sales.ru/parts/MAN/81351140158","81.35114-0158")</f>
        <v>81.35114-0158</v>
      </c>
      <c r="B2532" s="12" t="str">
        <f>HYPERLINK("https://parts-sales.ru/parts/MAN/81351140158","Кронштейн полого колеса правый зубчатый")</f>
        <v>Кронштейн полого колеса правый зубчатый</v>
      </c>
      <c r="C2532" s="3" t="s">
        <v>30</v>
      </c>
      <c r="D2532" s="4">
        <v>23963.47</v>
      </c>
      <c r="E2532" s="4">
        <v>11183</v>
      </c>
      <c r="F2532" s="8">
        <v>0.53</v>
      </c>
      <c r="H2532" s="11"/>
      <c r="I2532" s="11"/>
      <c r="J2532" s="11"/>
    </row>
    <row r="2533" spans="1:10" ht="15.75" x14ac:dyDescent="0.3">
      <c r="A2533" s="13" t="str">
        <f>HYPERLINK("https://parts-sales.ru/parts/MAN/81351140159","81.35114-0159")</f>
        <v>81.35114-0159</v>
      </c>
      <c r="B2533" s="13" t="str">
        <f>HYPERLINK("https://parts-sales.ru/parts/MAN/81351140159","Колокольная ступица I=4,0")</f>
        <v>Колокольная ступица I=4,0</v>
      </c>
      <c r="C2533" s="5" t="s">
        <v>30</v>
      </c>
      <c r="D2533" s="6">
        <v>148571.57</v>
      </c>
      <c r="E2533" s="6">
        <v>69333</v>
      </c>
      <c r="F2533" s="9">
        <v>0.53</v>
      </c>
      <c r="H2533" s="11"/>
      <c r="I2533" s="11"/>
      <c r="J2533" s="11"/>
    </row>
    <row r="2534" spans="1:10" ht="15.75" x14ac:dyDescent="0.3">
      <c r="A2534" s="12" t="str">
        <f>HYPERLINK("https://parts-sales.ru/parts/MAN/81351250035","81.35125-0035")</f>
        <v>81.35125-0035</v>
      </c>
      <c r="B2534" s="12" t="str">
        <f>HYPERLINK("https://parts-sales.ru/parts/MAN/81351250035","Резьбовое кольцо M155X1,5")</f>
        <v>Резьбовое кольцо M155X1,5</v>
      </c>
      <c r="C2534" s="3" t="s">
        <v>30</v>
      </c>
      <c r="D2534" s="4">
        <v>7024.8</v>
      </c>
      <c r="E2534" s="4">
        <v>1820</v>
      </c>
      <c r="F2534" s="8">
        <v>0.74</v>
      </c>
      <c r="H2534" s="11"/>
      <c r="I2534" s="11"/>
      <c r="J2534" s="11"/>
    </row>
    <row r="2535" spans="1:10" ht="15.75" x14ac:dyDescent="0.3">
      <c r="A2535" s="13" t="str">
        <f>HYPERLINK("https://parts-sales.ru/parts/MAN/81351250048","81.35125-0048")</f>
        <v>81.35125-0048</v>
      </c>
      <c r="B2535" s="13" t="str">
        <f>HYPERLINK("https://parts-sales.ru/parts/MAN/81351250048","Резьбовое кольцо M142X1,5")</f>
        <v>Резьбовое кольцо M142X1,5</v>
      </c>
      <c r="C2535" s="5" t="s">
        <v>30</v>
      </c>
      <c r="D2535" s="6">
        <v>10729.2</v>
      </c>
      <c r="E2535" s="6">
        <v>4510</v>
      </c>
      <c r="F2535" s="9">
        <v>0.57999999999999996</v>
      </c>
      <c r="H2535" s="11"/>
      <c r="I2535" s="11"/>
      <c r="J2535" s="11"/>
    </row>
    <row r="2536" spans="1:10" ht="15.75" x14ac:dyDescent="0.3">
      <c r="A2536" s="12" t="str">
        <f>HYPERLINK("https://parts-sales.ru/parts/MAN/81351256017","81.35125-6017")</f>
        <v>81.35125-6017</v>
      </c>
      <c r="B2536" s="12" t="str">
        <f>HYPERLINK("https://parts-sales.ru/parts/MAN/81351256017","Резьбовое кольцо")</f>
        <v>Резьбовое кольцо</v>
      </c>
      <c r="C2536" s="3" t="s">
        <v>30</v>
      </c>
      <c r="D2536" s="4">
        <v>40087.199999999997</v>
      </c>
      <c r="E2536" s="4">
        <v>8329</v>
      </c>
      <c r="F2536" s="8">
        <v>0.79</v>
      </c>
      <c r="H2536" s="11"/>
      <c r="I2536" s="11"/>
      <c r="J2536" s="11"/>
    </row>
    <row r="2537" spans="1:10" ht="15.75" x14ac:dyDescent="0.3">
      <c r="A2537" s="13" t="str">
        <f>HYPERLINK("https://parts-sales.ru/parts/MAN/81351400014","81.35140-0014")</f>
        <v>81.35140-0014</v>
      </c>
      <c r="B2537" s="13" t="str">
        <f>HYPERLINK("https://parts-sales.ru/parts/MAN/81351400014","Держатель I=3,0")</f>
        <v>Держатель I=3,0</v>
      </c>
      <c r="C2537" s="5" t="s">
        <v>30</v>
      </c>
      <c r="D2537" s="6">
        <v>20119.2</v>
      </c>
      <c r="E2537" s="6">
        <v>4391</v>
      </c>
      <c r="F2537" s="9">
        <v>0.78</v>
      </c>
      <c r="H2537" s="11"/>
      <c r="I2537" s="11"/>
      <c r="J2537" s="11"/>
    </row>
    <row r="2538" spans="1:10" ht="15.75" x14ac:dyDescent="0.3">
      <c r="A2538" s="12" t="str">
        <f>HYPERLINK("https://parts-sales.ru/parts/MAN/81352040022","81.35204-0022")</f>
        <v>81.35204-0022</v>
      </c>
      <c r="B2538" s="12" t="str">
        <f>HYPERLINK("https://parts-sales.ru/parts/MAN/81352040022","Прижимная шайба 4,00 MM")</f>
        <v>Прижимная шайба 4,00 MM</v>
      </c>
      <c r="C2538" s="3" t="s">
        <v>30</v>
      </c>
      <c r="D2538" s="4">
        <v>9195.6</v>
      </c>
      <c r="E2538" s="4">
        <v>2135</v>
      </c>
      <c r="F2538" s="8">
        <v>0.77</v>
      </c>
      <c r="H2538" s="11"/>
      <c r="I2538" s="11"/>
      <c r="J2538" s="11"/>
    </row>
    <row r="2539" spans="1:10" ht="15.75" x14ac:dyDescent="0.3">
      <c r="A2539" s="13" t="str">
        <f>HYPERLINK("https://parts-sales.ru/parts/MAN/81352040023","81.35204-0023")</f>
        <v>81.35204-0023</v>
      </c>
      <c r="B2539" s="13" t="str">
        <f>HYPERLINK("https://parts-sales.ru/parts/MAN/81352040023","Прижимная шайба 3,85 MM")</f>
        <v>Прижимная шайба 3,85 MM</v>
      </c>
      <c r="C2539" s="5" t="s">
        <v>30</v>
      </c>
      <c r="D2539" s="6">
        <v>8179.2</v>
      </c>
      <c r="E2539" s="6">
        <v>2727</v>
      </c>
      <c r="F2539" s="9">
        <v>0.67</v>
      </c>
      <c r="H2539" s="11"/>
      <c r="I2539" s="11"/>
      <c r="J2539" s="11"/>
    </row>
    <row r="2540" spans="1:10" ht="15.75" x14ac:dyDescent="0.3">
      <c r="A2540" s="12" t="str">
        <f>HYPERLINK("https://parts-sales.ru/parts/MAN/81352040041","81.35204-0041")</f>
        <v>81.35204-0041</v>
      </c>
      <c r="B2540" s="12" t="str">
        <f>HYPERLINK("https://parts-sales.ru/parts/MAN/81352040041","Прижимная шайба")</f>
        <v>Прижимная шайба</v>
      </c>
      <c r="C2540" s="3" t="s">
        <v>30</v>
      </c>
      <c r="D2540" s="4">
        <v>12106.8</v>
      </c>
      <c r="E2540" s="4">
        <v>4360</v>
      </c>
      <c r="F2540" s="8">
        <v>0.64</v>
      </c>
      <c r="H2540" s="11"/>
      <c r="I2540" s="11"/>
      <c r="J2540" s="11"/>
    </row>
    <row r="2541" spans="1:10" ht="15.75" x14ac:dyDescent="0.3">
      <c r="A2541" s="13" t="str">
        <f>HYPERLINK("https://parts-sales.ru/parts/MAN/81355020129","81.35502-0129")</f>
        <v>81.35502-0129</v>
      </c>
      <c r="B2541" s="13" t="str">
        <f>HYPERLINK("https://parts-sales.ru/parts/MAN/81355020129","Вал заднего моста")</f>
        <v>Вал заднего моста</v>
      </c>
      <c r="C2541" s="5" t="s">
        <v>30</v>
      </c>
      <c r="D2541" s="6">
        <v>73722.89</v>
      </c>
      <c r="E2541" s="6">
        <v>30847</v>
      </c>
      <c r="F2541" s="9">
        <v>0.57999999999999996</v>
      </c>
      <c r="H2541" s="11"/>
      <c r="I2541" s="11"/>
      <c r="J2541" s="11"/>
    </row>
    <row r="2542" spans="1:10" ht="15.75" x14ac:dyDescent="0.3">
      <c r="A2542" s="12" t="str">
        <f>HYPERLINK("https://parts-sales.ru/parts/MAN/81356010051","81.35601-0051")</f>
        <v>81.35601-0051</v>
      </c>
      <c r="B2542" s="12" t="str">
        <f>HYPERLINK("https://parts-sales.ru/parts/MAN/81356010051","Корпус шестерни")</f>
        <v>Корпус шестерни</v>
      </c>
      <c r="C2542" s="3" t="s">
        <v>30</v>
      </c>
      <c r="D2542" s="4">
        <v>81825.89</v>
      </c>
      <c r="E2542" s="4">
        <v>34237</v>
      </c>
      <c r="F2542" s="8">
        <v>0.57999999999999996</v>
      </c>
      <c r="H2542" s="11"/>
      <c r="I2542" s="11"/>
      <c r="J2542" s="11"/>
    </row>
    <row r="2543" spans="1:10" ht="15.75" x14ac:dyDescent="0.3">
      <c r="A2543" s="13" t="str">
        <f>HYPERLINK("https://parts-sales.ru/parts/MAN/81356100034","81.35610-0034")</f>
        <v>81.35610-0034</v>
      </c>
      <c r="B2543" s="13" t="str">
        <f>HYPERLINK("https://parts-sales.ru/parts/MAN/81356100034","Шестерня промежуточного вала Z=42")</f>
        <v>Шестерня промежуточного вала Z=42</v>
      </c>
      <c r="C2543" s="5" t="s">
        <v>30</v>
      </c>
      <c r="D2543" s="6">
        <v>80066.740000000005</v>
      </c>
      <c r="E2543" s="6">
        <v>37364</v>
      </c>
      <c r="F2543" s="9">
        <v>0.53</v>
      </c>
      <c r="H2543" s="11"/>
      <c r="I2543" s="11"/>
      <c r="J2543" s="11"/>
    </row>
    <row r="2544" spans="1:10" ht="15.75" x14ac:dyDescent="0.3">
      <c r="A2544" s="12" t="str">
        <f>HYPERLINK("https://parts-sales.ru/parts/MAN/81356100040","81.35610-0040")</f>
        <v>81.35610-0040</v>
      </c>
      <c r="B2544" s="12" t="str">
        <f>HYPERLINK("https://parts-sales.ru/parts/MAN/81356100040","Шестерня промежуточного вала Z=37")</f>
        <v>Шестерня промежуточного вала Z=37</v>
      </c>
      <c r="C2544" s="3" t="s">
        <v>30</v>
      </c>
      <c r="D2544" s="4">
        <v>87451.13</v>
      </c>
      <c r="E2544" s="4">
        <v>28269</v>
      </c>
      <c r="F2544" s="8">
        <v>0.68</v>
      </c>
      <c r="H2544" s="11"/>
      <c r="I2544" s="11"/>
      <c r="J2544" s="11"/>
    </row>
    <row r="2545" spans="1:10" ht="15.75" x14ac:dyDescent="0.3">
      <c r="A2545" s="13" t="str">
        <f>HYPERLINK("https://parts-sales.ru/parts/MAN/81356130034","81.35613-0034")</f>
        <v>81.35613-0034</v>
      </c>
      <c r="B2545" s="13" t="str">
        <f>HYPERLINK("https://parts-sales.ru/parts/MAN/81356130034","Прижимная шайба")</f>
        <v>Прижимная шайба</v>
      </c>
      <c r="C2545" s="5" t="s">
        <v>30</v>
      </c>
      <c r="D2545" s="6">
        <v>8449.2000000000007</v>
      </c>
      <c r="E2545" s="6">
        <v>1760</v>
      </c>
      <c r="F2545" s="9">
        <v>0.79</v>
      </c>
      <c r="H2545" s="11"/>
      <c r="I2545" s="11"/>
      <c r="J2545" s="11"/>
    </row>
    <row r="2546" spans="1:10" ht="15.75" x14ac:dyDescent="0.3">
      <c r="A2546" s="12" t="str">
        <f>HYPERLINK("https://parts-sales.ru/parts/MAN/81356340011","81.35634-0011")</f>
        <v>81.35634-0011</v>
      </c>
      <c r="B2546" s="12" t="str">
        <f>HYPERLINK("https://parts-sales.ru/parts/MAN/81356340011","Поршень включающего цилиндра")</f>
        <v>Поршень включающего цилиндра</v>
      </c>
      <c r="C2546" s="3" t="s">
        <v>30</v>
      </c>
      <c r="D2546" s="4">
        <v>7312.8</v>
      </c>
      <c r="E2546" s="4">
        <v>775</v>
      </c>
      <c r="F2546" s="8">
        <v>0.89</v>
      </c>
      <c r="H2546" s="11"/>
      <c r="I2546" s="11"/>
      <c r="J2546" s="11"/>
    </row>
    <row r="2547" spans="1:10" ht="15.75" x14ac:dyDescent="0.3">
      <c r="A2547" s="13" t="str">
        <f>HYPERLINK("https://parts-sales.ru/parts/MAN/81356360003","81.35636-0003")</f>
        <v>81.35636-0003</v>
      </c>
      <c r="B2547" s="13" t="str">
        <f>HYPERLINK("https://parts-sales.ru/parts/MAN/81356360003","Крышка")</f>
        <v>Крышка</v>
      </c>
      <c r="C2547" s="5" t="s">
        <v>30</v>
      </c>
      <c r="D2547" s="6">
        <v>16320</v>
      </c>
      <c r="E2547" s="6">
        <v>3833</v>
      </c>
      <c r="F2547" s="9">
        <v>0.77</v>
      </c>
      <c r="H2547" s="11"/>
      <c r="I2547" s="11"/>
      <c r="J2547" s="11"/>
    </row>
    <row r="2548" spans="1:10" ht="15.75" x14ac:dyDescent="0.3">
      <c r="A2548" s="12" t="str">
        <f>HYPERLINK("https://parts-sales.ru/parts/MAN/81357300051","81.35730-0051")</f>
        <v>81.35730-0051</v>
      </c>
      <c r="B2548" s="12" t="str">
        <f>HYPERLINK("https://parts-sales.ru/parts/MAN/81357300051","Лист маслосборника")</f>
        <v>Лист маслосборника</v>
      </c>
      <c r="C2548" s="3" t="s">
        <v>30</v>
      </c>
      <c r="D2548" s="4">
        <v>12486</v>
      </c>
      <c r="E2548" s="4">
        <v>2613</v>
      </c>
      <c r="F2548" s="8">
        <v>0.79</v>
      </c>
      <c r="H2548" s="11"/>
      <c r="I2548" s="11"/>
      <c r="J2548" s="11"/>
    </row>
    <row r="2549" spans="1:10" ht="15.75" x14ac:dyDescent="0.3">
      <c r="A2549" s="13" t="str">
        <f>HYPERLINK("https://parts-sales.ru/parts/MAN/81363050016","81.36305-0016")</f>
        <v>81.36305-0016</v>
      </c>
      <c r="B2549" s="13" t="str">
        <f>HYPERLINK("https://parts-sales.ru/parts/MAN/81363050016","Шкворень")</f>
        <v>Шкворень</v>
      </c>
      <c r="C2549" s="5" t="s">
        <v>30</v>
      </c>
      <c r="D2549" s="6">
        <v>38694.699999999997</v>
      </c>
      <c r="E2549" s="6">
        <v>13652</v>
      </c>
      <c r="F2549" s="9">
        <v>0.65</v>
      </c>
      <c r="H2549" s="11"/>
      <c r="I2549" s="11"/>
      <c r="J2549" s="11"/>
    </row>
    <row r="2550" spans="1:10" ht="15.75" x14ac:dyDescent="0.3">
      <c r="A2550" s="12" t="str">
        <f>HYPERLINK("https://parts-sales.ru/parts/MAN/81363060002","81.36306-0002")</f>
        <v>81.36306-0002</v>
      </c>
      <c r="B2550" s="12" t="str">
        <f>HYPERLINK("https://parts-sales.ru/parts/MAN/81363060002","Беговое кольцо")</f>
        <v>Беговое кольцо</v>
      </c>
      <c r="C2550" s="3" t="s">
        <v>30</v>
      </c>
      <c r="D2550" s="4">
        <v>14654.4</v>
      </c>
      <c r="E2550" s="4">
        <v>4926</v>
      </c>
      <c r="F2550" s="8">
        <v>0.66</v>
      </c>
      <c r="H2550" s="11"/>
      <c r="I2550" s="11"/>
      <c r="J2550" s="11"/>
    </row>
    <row r="2551" spans="1:10" ht="15.75" x14ac:dyDescent="0.3">
      <c r="A2551" s="13" t="str">
        <f>HYPERLINK("https://parts-sales.ru/parts/MAN/81364020078","81.36402-0078")</f>
        <v>81.36402-0078</v>
      </c>
      <c r="B2551" s="13" t="str">
        <f>HYPERLINK("https://parts-sales.ru/parts/MAN/81364020078","Пусковая шайба")</f>
        <v>Пусковая шайба</v>
      </c>
      <c r="C2551" s="5" t="s">
        <v>30</v>
      </c>
      <c r="D2551" s="6">
        <v>22417.200000000001</v>
      </c>
      <c r="E2551" s="6">
        <v>13858</v>
      </c>
      <c r="F2551" s="9">
        <v>0.38</v>
      </c>
      <c r="H2551" s="11"/>
      <c r="I2551" s="11"/>
      <c r="J2551" s="11"/>
    </row>
    <row r="2552" spans="1:10" ht="15.75" x14ac:dyDescent="0.3">
      <c r="A2552" s="12" t="str">
        <f>HYPERLINK("https://parts-sales.ru/parts/MAN/81364026328","81.36402-6328")</f>
        <v>81.36402-6328</v>
      </c>
      <c r="B2552" s="12" t="str">
        <f>HYPERLINK("https://parts-sales.ru/parts/MAN/81364026328","Вал со сдвоенным карданом 1092,5-44,75-4")</f>
        <v>Вал со сдвоенным карданом 1092,5-44,75-4</v>
      </c>
      <c r="C2552" s="3" t="s">
        <v>30</v>
      </c>
      <c r="D2552" s="4">
        <v>208754.42</v>
      </c>
      <c r="E2552" s="4">
        <v>97419</v>
      </c>
      <c r="F2552" s="8">
        <v>0.53</v>
      </c>
      <c r="H2552" s="11"/>
      <c r="I2552" s="11"/>
      <c r="J2552" s="11"/>
    </row>
    <row r="2553" spans="1:10" ht="15.75" x14ac:dyDescent="0.3">
      <c r="A2553" s="13" t="str">
        <f>HYPERLINK("https://parts-sales.ru/parts/MAN/81364026506","81.36402-6506")</f>
        <v>81.36402-6506</v>
      </c>
      <c r="B2553" s="13" t="str">
        <f>HYPERLINK("https://parts-sales.ru/parts/MAN/81364026506","Вал со сдвоенным карданом 1272 MM")</f>
        <v>Вал со сдвоенным карданом 1272 MM</v>
      </c>
      <c r="C2553" s="5" t="s">
        <v>30</v>
      </c>
      <c r="D2553" s="6">
        <v>160728.95000000001</v>
      </c>
      <c r="E2553" s="6">
        <v>106372</v>
      </c>
      <c r="F2553" s="9">
        <v>0.34</v>
      </c>
      <c r="H2553" s="11"/>
      <c r="I2553" s="11"/>
      <c r="J2553" s="11"/>
    </row>
    <row r="2554" spans="1:10" ht="15.75" x14ac:dyDescent="0.3">
      <c r="A2554" s="12" t="str">
        <f>HYPERLINK("https://parts-sales.ru/parts/MAN/81364029508","81.36402-9508")</f>
        <v>81.36402-9508</v>
      </c>
      <c r="B2554" s="12" t="str">
        <f>HYPERLINK("https://parts-sales.ru/parts/MAN/81364029508","Вал со сдвоенным карданом")</f>
        <v>Вал со сдвоенным карданом</v>
      </c>
      <c r="C2554" s="3" t="s">
        <v>30</v>
      </c>
      <c r="D2554" s="4">
        <v>100214.21</v>
      </c>
      <c r="E2554" s="4">
        <v>29713</v>
      </c>
      <c r="F2554" s="8">
        <v>0.7</v>
      </c>
      <c r="H2554" s="11"/>
      <c r="I2554" s="11"/>
      <c r="J2554" s="11"/>
    </row>
    <row r="2555" spans="1:10" ht="15.75" x14ac:dyDescent="0.3">
      <c r="A2555" s="13" t="str">
        <f>HYPERLINK("https://parts-sales.ru/parts/MAN/81364040014","81.36404-0014")</f>
        <v>81.36404-0014</v>
      </c>
      <c r="B2555" s="13" t="str">
        <f>HYPERLINK("https://parts-sales.ru/parts/MAN/81364040014","Внутреннее кольцо 50x45x48")</f>
        <v>Внутреннее кольцо 50x45x48</v>
      </c>
      <c r="C2555" s="5" t="s">
        <v>30</v>
      </c>
      <c r="D2555" s="6">
        <v>11789.57</v>
      </c>
      <c r="E2555" s="6">
        <v>7860</v>
      </c>
      <c r="F2555" s="9">
        <v>0.33</v>
      </c>
      <c r="H2555" s="11"/>
      <c r="I2555" s="11"/>
      <c r="J2555" s="11"/>
    </row>
    <row r="2556" spans="1:10" ht="15.75" x14ac:dyDescent="0.3">
      <c r="A2556" s="12" t="str">
        <f>HYPERLINK("https://parts-sales.ru/parts/MAN/81371065010","81.37106-5010")</f>
        <v>81.37106-5010</v>
      </c>
      <c r="B2556" s="12" t="str">
        <f>HYPERLINK("https://parts-sales.ru/parts/MAN/81371065010","Крышка подшипника")</f>
        <v>Крышка подшипника</v>
      </c>
      <c r="C2556" s="3" t="s">
        <v>30</v>
      </c>
      <c r="D2556" s="4">
        <v>104662.8</v>
      </c>
      <c r="E2556" s="4">
        <v>21745</v>
      </c>
      <c r="F2556" s="8">
        <v>0.79</v>
      </c>
      <c r="H2556" s="11"/>
      <c r="I2556" s="11"/>
      <c r="J2556" s="11"/>
    </row>
    <row r="2557" spans="1:10" ht="15.75" x14ac:dyDescent="0.3">
      <c r="A2557" s="13" t="str">
        <f>HYPERLINK("https://parts-sales.ru/parts/MAN/81372600007","81.37260-0007")</f>
        <v>81.37260-0007</v>
      </c>
      <c r="B2557" s="13" t="str">
        <f>HYPERLINK("https://parts-sales.ru/parts/MAN/81372600007","Внутреннее кольцо")</f>
        <v>Внутреннее кольцо</v>
      </c>
      <c r="C2557" s="5" t="s">
        <v>30</v>
      </c>
      <c r="D2557" s="6">
        <v>12417.6</v>
      </c>
      <c r="E2557" s="6">
        <v>2569</v>
      </c>
      <c r="F2557" s="9">
        <v>0.79</v>
      </c>
      <c r="H2557" s="11"/>
      <c r="I2557" s="11"/>
      <c r="J2557" s="11"/>
    </row>
    <row r="2558" spans="1:10" ht="15.75" x14ac:dyDescent="0.3">
      <c r="A2558" s="12" t="str">
        <f>HYPERLINK("https://parts-sales.ru/parts/MAN/81375050010","81.37505-0010")</f>
        <v>81.37505-0010</v>
      </c>
      <c r="B2558" s="12" t="str">
        <f>HYPERLINK("https://parts-sales.ru/parts/MAN/81375050010","Планетарное колесо")</f>
        <v>Планетарное колесо</v>
      </c>
      <c r="C2558" s="3" t="s">
        <v>30</v>
      </c>
      <c r="D2558" s="4">
        <v>39777.599999999999</v>
      </c>
      <c r="E2558" s="4">
        <v>7880</v>
      </c>
      <c r="F2558" s="8">
        <v>0.8</v>
      </c>
      <c r="H2558" s="11"/>
      <c r="I2558" s="11"/>
      <c r="J2558" s="11"/>
    </row>
    <row r="2559" spans="1:10" ht="15.75" x14ac:dyDescent="0.3">
      <c r="A2559" s="13" t="str">
        <f>HYPERLINK("https://parts-sales.ru/parts/MAN/81375070043","81.37507-0043")</f>
        <v>81.37507-0043</v>
      </c>
      <c r="B2559" s="13" t="str">
        <f>HYPERLINK("https://parts-sales.ru/parts/MAN/81375070043","Вал отбора мощности")</f>
        <v>Вал отбора мощности</v>
      </c>
      <c r="C2559" s="5" t="s">
        <v>30</v>
      </c>
      <c r="D2559" s="6">
        <v>121960.8</v>
      </c>
      <c r="E2559" s="6">
        <v>37154</v>
      </c>
      <c r="F2559" s="9">
        <v>0.7</v>
      </c>
      <c r="H2559" s="11"/>
      <c r="I2559" s="11"/>
      <c r="J2559" s="11"/>
    </row>
    <row r="2560" spans="1:10" ht="15.75" x14ac:dyDescent="0.3">
      <c r="A2560" s="12" t="str">
        <f>HYPERLINK("https://parts-sales.ru/parts/MAN/81375110006","81.37511-0006")</f>
        <v>81.37511-0006</v>
      </c>
      <c r="B2560" s="12" t="str">
        <f>HYPERLINK("https://parts-sales.ru/parts/MAN/81375110006","Вал отбора мощности")</f>
        <v>Вал отбора мощности</v>
      </c>
      <c r="C2560" s="3" t="s">
        <v>30</v>
      </c>
      <c r="D2560" s="4">
        <v>168451.20000000001</v>
      </c>
      <c r="E2560" s="4">
        <v>98009</v>
      </c>
      <c r="F2560" s="8">
        <v>0.42</v>
      </c>
      <c r="H2560" s="11"/>
      <c r="I2560" s="11"/>
      <c r="J2560" s="11"/>
    </row>
    <row r="2561" spans="1:10" ht="15.75" x14ac:dyDescent="0.3">
      <c r="A2561" s="13" t="str">
        <f>HYPERLINK("https://parts-sales.ru/parts/MAN/81376170009","81.37617-0009")</f>
        <v>81.37617-0009</v>
      </c>
      <c r="B2561" s="13" t="str">
        <f>HYPERLINK("https://parts-sales.ru/parts/MAN/81376170009","Шток поршня")</f>
        <v>Шток поршня</v>
      </c>
      <c r="C2561" s="5" t="s">
        <v>30</v>
      </c>
      <c r="D2561" s="6">
        <v>58373.69</v>
      </c>
      <c r="E2561" s="6">
        <v>17117</v>
      </c>
      <c r="F2561" s="9">
        <v>0.71</v>
      </c>
      <c r="H2561" s="11"/>
      <c r="I2561" s="11"/>
      <c r="J2561" s="11"/>
    </row>
    <row r="2562" spans="1:10" ht="15.75" x14ac:dyDescent="0.3">
      <c r="A2562" s="12" t="str">
        <f>HYPERLINK("https://parts-sales.ru/parts/MAN/81379500033","81.37950-0033")</f>
        <v>81.37950-0033</v>
      </c>
      <c r="B2562" s="12" t="str">
        <f>HYPERLINK("https://parts-sales.ru/parts/MAN/81379500033","Уплотнение")</f>
        <v>Уплотнение</v>
      </c>
      <c r="C2562" s="3" t="s">
        <v>30</v>
      </c>
      <c r="D2562" s="4">
        <v>2089.1999999999998</v>
      </c>
      <c r="E2562" s="4">
        <v>333</v>
      </c>
      <c r="F2562" s="8">
        <v>0.84</v>
      </c>
      <c r="H2562" s="11"/>
      <c r="I2562" s="11"/>
      <c r="J2562" s="11"/>
    </row>
    <row r="2563" spans="1:10" ht="15.75" x14ac:dyDescent="0.3">
      <c r="A2563" s="13" t="str">
        <f>HYPERLINK("https://parts-sales.ru/parts/MAN/81381006685","81.38100-6685")</f>
        <v>81.38100-6685</v>
      </c>
      <c r="B2563" s="13" t="str">
        <f>HYPERLINK("https://parts-sales.ru/parts/MAN/81381006685","Комплект адаптеров NH/1C")</f>
        <v>Комплект адаптеров NH/1C</v>
      </c>
      <c r="C2563" s="5" t="s">
        <v>29</v>
      </c>
      <c r="D2563" s="6">
        <v>66603.600000000006</v>
      </c>
      <c r="E2563" s="6">
        <v>15470</v>
      </c>
      <c r="F2563" s="9">
        <v>0.77</v>
      </c>
      <c r="H2563" s="11"/>
      <c r="I2563" s="11"/>
      <c r="J2563" s="11"/>
    </row>
    <row r="2564" spans="1:10" ht="15.75" x14ac:dyDescent="0.3">
      <c r="A2564" s="12" t="str">
        <f>HYPERLINK("https://parts-sales.ru/parts/MAN/81381060011","81.38106-0011")</f>
        <v>81.38106-0011</v>
      </c>
      <c r="B2564" s="12" t="str">
        <f>HYPERLINK("https://parts-sales.ru/parts/MAN/81381060011","Втулка")</f>
        <v>Втулка</v>
      </c>
      <c r="C2564" s="3" t="s">
        <v>29</v>
      </c>
      <c r="D2564" s="4">
        <v>4587.6000000000004</v>
      </c>
      <c r="E2564" s="4">
        <v>951</v>
      </c>
      <c r="F2564" s="8">
        <v>0.79</v>
      </c>
      <c r="H2564" s="11"/>
      <c r="I2564" s="11"/>
      <c r="J2564" s="11"/>
    </row>
    <row r="2565" spans="1:10" ht="15.75" x14ac:dyDescent="0.3">
      <c r="A2565" s="13" t="str">
        <f>HYPERLINK("https://parts-sales.ru/parts/MAN/81381090034","81.38109-0034")</f>
        <v>81.38109-0034</v>
      </c>
      <c r="B2565" s="13" t="str">
        <f>HYPERLINK("https://parts-sales.ru/parts/MAN/81381090034","Подвижная втулка")</f>
        <v>Подвижная втулка</v>
      </c>
      <c r="C2565" s="5" t="s">
        <v>29</v>
      </c>
      <c r="D2565" s="6">
        <v>26466</v>
      </c>
      <c r="E2565" s="6">
        <v>8132</v>
      </c>
      <c r="F2565" s="9">
        <v>0.69</v>
      </c>
      <c r="H2565" s="11"/>
      <c r="I2565" s="11"/>
      <c r="J2565" s="11"/>
    </row>
    <row r="2566" spans="1:10" ht="15.75" x14ac:dyDescent="0.3">
      <c r="A2566" s="12" t="str">
        <f>HYPERLINK("https://parts-sales.ru/parts/MAN/81381240068","81.38124-0068")</f>
        <v>81.38124-0068</v>
      </c>
      <c r="B2566" s="12" t="str">
        <f>HYPERLINK("https://parts-sales.ru/parts/MAN/81381240068","Центровочное кольцо")</f>
        <v>Центровочное кольцо</v>
      </c>
      <c r="C2566" s="3" t="s">
        <v>29</v>
      </c>
      <c r="D2566" s="4">
        <v>6037.2</v>
      </c>
      <c r="E2566" s="4">
        <v>1094</v>
      </c>
      <c r="F2566" s="8">
        <v>0.82</v>
      </c>
      <c r="H2566" s="11"/>
      <c r="I2566" s="11"/>
      <c r="J2566" s="11"/>
    </row>
    <row r="2567" spans="1:10" ht="15.75" x14ac:dyDescent="0.3">
      <c r="A2567" s="13" t="str">
        <f>HYPERLINK("https://parts-sales.ru/parts/MAN/81381240083","81.38124-0083")</f>
        <v>81.38124-0083</v>
      </c>
      <c r="B2567" s="13" t="str">
        <f>HYPERLINK("https://parts-sales.ru/parts/MAN/81381240083","Прижимная шайба")</f>
        <v>Прижимная шайба</v>
      </c>
      <c r="C2567" s="5" t="s">
        <v>29</v>
      </c>
      <c r="D2567" s="6">
        <v>706.8</v>
      </c>
      <c r="E2567" s="6">
        <v>84</v>
      </c>
      <c r="F2567" s="9">
        <v>0.88</v>
      </c>
      <c r="H2567" s="11"/>
      <c r="I2567" s="11"/>
      <c r="J2567" s="11"/>
    </row>
    <row r="2568" spans="1:10" ht="15.75" x14ac:dyDescent="0.3">
      <c r="A2568" s="12" t="str">
        <f>HYPERLINK("https://parts-sales.ru/parts/MAN/81381240097","81.38124-0097")</f>
        <v>81.38124-0097</v>
      </c>
      <c r="B2568" s="12" t="str">
        <f>HYPERLINK("https://parts-sales.ru/parts/MAN/81381240097","Стопорное кольцо")</f>
        <v>Стопорное кольцо</v>
      </c>
      <c r="C2568" s="3" t="s">
        <v>29</v>
      </c>
      <c r="D2568" s="4">
        <v>1240.8</v>
      </c>
      <c r="E2568" s="4">
        <v>247</v>
      </c>
      <c r="F2568" s="8">
        <v>0.8</v>
      </c>
      <c r="H2568" s="11"/>
      <c r="I2568" s="11"/>
      <c r="J2568" s="11"/>
    </row>
    <row r="2569" spans="1:10" ht="15.75" x14ac:dyDescent="0.3">
      <c r="A2569" s="13" t="str">
        <f>HYPERLINK("https://parts-sales.ru/parts/MAN/81385180003","81.38518-0003")</f>
        <v>81.38518-0003</v>
      </c>
      <c r="B2569" s="13" t="str">
        <f>HYPERLINK("https://parts-sales.ru/parts/MAN/81385180003","Кольцо")</f>
        <v>Кольцо</v>
      </c>
      <c r="C2569" s="5" t="s">
        <v>29</v>
      </c>
      <c r="D2569" s="6">
        <v>109800</v>
      </c>
      <c r="E2569" s="6">
        <v>32340</v>
      </c>
      <c r="F2569" s="9">
        <v>0.71</v>
      </c>
      <c r="H2569" s="11"/>
      <c r="I2569" s="11"/>
      <c r="J2569" s="11"/>
    </row>
    <row r="2570" spans="1:10" ht="15.75" x14ac:dyDescent="0.3">
      <c r="A2570" s="12" t="str">
        <f>HYPERLINK("https://parts-sales.ru/parts/MAN/81385200003","81.38520-0003")</f>
        <v>81.38520-0003</v>
      </c>
      <c r="B2570" s="12" t="str">
        <f>HYPERLINK("https://parts-sales.ru/parts/MAN/81385200003","Корпус насоса")</f>
        <v>Корпус насоса</v>
      </c>
      <c r="C2570" s="3" t="s">
        <v>29</v>
      </c>
      <c r="D2570" s="4">
        <v>42831.6</v>
      </c>
      <c r="E2570" s="4">
        <v>9610</v>
      </c>
      <c r="F2570" s="8">
        <v>0.78</v>
      </c>
      <c r="H2570" s="11"/>
      <c r="I2570" s="11"/>
      <c r="J2570" s="11"/>
    </row>
    <row r="2571" spans="1:10" ht="15.75" x14ac:dyDescent="0.3">
      <c r="A2571" s="13" t="str">
        <f>HYPERLINK("https://parts-sales.ru/parts/MAN/81386040039","81.38604-0039")</f>
        <v>81.38604-0039</v>
      </c>
      <c r="B2571" s="13" t="str">
        <f>HYPERLINK("https://parts-sales.ru/parts/MAN/81386040039","Корпус насоса")</f>
        <v>Корпус насоса</v>
      </c>
      <c r="C2571" s="5" t="s">
        <v>29</v>
      </c>
      <c r="D2571" s="6">
        <v>9795.6</v>
      </c>
      <c r="E2571" s="6">
        <v>2324</v>
      </c>
      <c r="F2571" s="9">
        <v>0.76</v>
      </c>
      <c r="H2571" s="11"/>
      <c r="I2571" s="11"/>
      <c r="J2571" s="11"/>
    </row>
    <row r="2572" spans="1:10" ht="15.75" x14ac:dyDescent="0.3">
      <c r="A2572" s="12" t="str">
        <f>HYPERLINK("https://parts-sales.ru/parts/MAN/81386060015","81.38606-0015")</f>
        <v>81.38606-0015</v>
      </c>
      <c r="B2572" s="12" t="str">
        <f>HYPERLINK("https://parts-sales.ru/parts/MAN/81386060015","Поршень клапана")</f>
        <v>Поршень клапана</v>
      </c>
      <c r="C2572" s="3" t="s">
        <v>29</v>
      </c>
      <c r="D2572" s="4">
        <v>312</v>
      </c>
      <c r="E2572" s="4">
        <v>78</v>
      </c>
      <c r="F2572" s="8">
        <v>0.75</v>
      </c>
      <c r="H2572" s="11"/>
      <c r="I2572" s="11"/>
      <c r="J2572" s="11"/>
    </row>
    <row r="2573" spans="1:10" ht="15.75" x14ac:dyDescent="0.3">
      <c r="A2573" s="13" t="str">
        <f>HYPERLINK("https://parts-sales.ru/parts/MAN/81389020080","81.38902-0080")</f>
        <v>81.38902-0080</v>
      </c>
      <c r="B2573" s="13" t="str">
        <f>HYPERLINK("https://parts-sales.ru/parts/MAN/81389020080","Уплотнение")</f>
        <v>Уплотнение</v>
      </c>
      <c r="C2573" s="5" t="s">
        <v>29</v>
      </c>
      <c r="D2573" s="6">
        <v>4047.6</v>
      </c>
      <c r="E2573" s="6">
        <v>804</v>
      </c>
      <c r="F2573" s="9">
        <v>0.8</v>
      </c>
      <c r="H2573" s="11"/>
      <c r="I2573" s="11"/>
      <c r="J2573" s="11"/>
    </row>
    <row r="2574" spans="1:10" ht="15.75" x14ac:dyDescent="0.3">
      <c r="A2574" s="12" t="str">
        <f>HYPERLINK("https://parts-sales.ru/parts/MAN/81389020088","81.38902-0088")</f>
        <v>81.38902-0088</v>
      </c>
      <c r="B2574" s="12" t="str">
        <f>HYPERLINK("https://parts-sales.ru/parts/MAN/81389020088","Уплотнение")</f>
        <v>Уплотнение</v>
      </c>
      <c r="C2574" s="3" t="s">
        <v>29</v>
      </c>
      <c r="D2574" s="4">
        <v>2214</v>
      </c>
      <c r="E2574" s="4">
        <v>476</v>
      </c>
      <c r="F2574" s="8">
        <v>0.79</v>
      </c>
      <c r="H2574" s="11"/>
      <c r="I2574" s="11"/>
      <c r="J2574" s="11"/>
    </row>
    <row r="2575" spans="1:10" ht="15.75" x14ac:dyDescent="0.3">
      <c r="A2575" s="13" t="str">
        <f>HYPERLINK("https://parts-sales.ru/parts/MAN/81391086052","81.39108-6052")</f>
        <v>81.39108-6052</v>
      </c>
      <c r="B2575" s="13" t="str">
        <f>HYPERLINK("https://parts-sales.ru/parts/MAN/81391086052","Крестовина карданного вала 38x110 - 5,5K")</f>
        <v>Крестовина карданного вала 38x110 - 5,5K</v>
      </c>
      <c r="C2575" s="5" t="s">
        <v>31</v>
      </c>
      <c r="D2575" s="6">
        <v>74914.8</v>
      </c>
      <c r="E2575" s="6">
        <v>20838</v>
      </c>
      <c r="F2575" s="9">
        <v>0.72</v>
      </c>
      <c r="H2575" s="11"/>
      <c r="I2575" s="11"/>
      <c r="J2575" s="11"/>
    </row>
    <row r="2576" spans="1:10" ht="15.75" x14ac:dyDescent="0.3">
      <c r="A2576" s="12" t="str">
        <f>HYPERLINK("https://parts-sales.ru/parts/MAN/81391086230","81.39108-6230")</f>
        <v>81.39108-6230</v>
      </c>
      <c r="B2576" s="12" t="str">
        <f>HYPERLINK("https://parts-sales.ru/parts/MAN/81391086230","Крестовина карданного вала 34,9 x 106,40")</f>
        <v>Крестовина карданного вала 34,9 x 106,40</v>
      </c>
      <c r="C2576" s="3" t="s">
        <v>31</v>
      </c>
      <c r="D2576" s="4">
        <v>34335.79</v>
      </c>
      <c r="E2576" s="4">
        <v>15732</v>
      </c>
      <c r="F2576" s="8">
        <v>0.54</v>
      </c>
      <c r="H2576" s="11"/>
      <c r="I2576" s="11"/>
      <c r="J2576" s="11"/>
    </row>
    <row r="2577" spans="1:10" ht="15.75" x14ac:dyDescent="0.3">
      <c r="A2577" s="13" t="str">
        <f>HYPERLINK("https://parts-sales.ru/parts/MAN/81391139074","81.39113-9074")</f>
        <v>81.39113-9074</v>
      </c>
      <c r="B2577" s="13" t="str">
        <f>HYPERLINK("https://parts-sales.ru/parts/MAN/81391139074","Шарнир.промежуточный вал CLW+ 25-150-118")</f>
        <v>Шарнир.промежуточный вал CLW+ 25-150-118</v>
      </c>
      <c r="C2577" s="5" t="s">
        <v>31</v>
      </c>
      <c r="D2577" s="6">
        <v>209178</v>
      </c>
      <c r="E2577" s="6">
        <v>63723</v>
      </c>
      <c r="F2577" s="9">
        <v>0.7</v>
      </c>
      <c r="H2577" s="11"/>
      <c r="I2577" s="11"/>
      <c r="J2577" s="11"/>
    </row>
    <row r="2578" spans="1:10" ht="15.75" x14ac:dyDescent="0.3">
      <c r="A2578" s="12" t="str">
        <f>HYPERLINK("https://parts-sales.ru/parts/MAN/81391150499","81.39115-0499")</f>
        <v>81.39115-0499</v>
      </c>
      <c r="B2578" s="12" t="str">
        <f>HYPERLINK("https://parts-sales.ru/parts/MAN/81391150499","Ведомый фланец")</f>
        <v>Ведомый фланец</v>
      </c>
      <c r="C2578" s="3" t="s">
        <v>31</v>
      </c>
      <c r="D2578" s="4">
        <v>65434.8</v>
      </c>
      <c r="E2578" s="4">
        <v>17433</v>
      </c>
      <c r="F2578" s="8">
        <v>0.73</v>
      </c>
      <c r="H2578" s="11"/>
      <c r="I2578" s="11"/>
      <c r="J2578" s="11"/>
    </row>
    <row r="2579" spans="1:10" ht="15.75" x14ac:dyDescent="0.3">
      <c r="A2579" s="13" t="str">
        <f>HYPERLINK("https://parts-sales.ru/parts/MAN/81391155112","81.39115-5112")</f>
        <v>81.39115-5112</v>
      </c>
      <c r="B2579" s="13" t="str">
        <f>HYPERLINK("https://parts-sales.ru/parts/MAN/81391155112","Поводковый фланец 150 MM")</f>
        <v>Поводковый фланец 150 MM</v>
      </c>
      <c r="C2579" s="5" t="s">
        <v>31</v>
      </c>
      <c r="D2579" s="6">
        <v>86760</v>
      </c>
      <c r="E2579" s="6">
        <v>17834</v>
      </c>
      <c r="F2579" s="9">
        <v>0.79</v>
      </c>
      <c r="H2579" s="11"/>
      <c r="I2579" s="11"/>
      <c r="J2579" s="11"/>
    </row>
    <row r="2580" spans="1:10" ht="15.75" x14ac:dyDescent="0.3">
      <c r="A2580" s="12" t="str">
        <f>HYPERLINK("https://parts-sales.ru/parts/MAN/81391239170","81.39123-9170")</f>
        <v>81.39123-9170</v>
      </c>
      <c r="B2580" s="12" t="str">
        <f>HYPERLINK("https://parts-sales.ru/parts/MAN/81391239170","Шарнир.промежуточный вал CLW+ 25-150-118")</f>
        <v>Шарнир.промежуточный вал CLW+ 25-150-118</v>
      </c>
      <c r="C2580" s="3" t="s">
        <v>31</v>
      </c>
      <c r="D2580" s="4">
        <v>294282.65000000002</v>
      </c>
      <c r="E2580" s="4">
        <v>196188</v>
      </c>
      <c r="F2580" s="8">
        <v>0.33</v>
      </c>
      <c r="H2580" s="11"/>
      <c r="I2580" s="11"/>
      <c r="J2580" s="11"/>
    </row>
    <row r="2581" spans="1:10" ht="15.75" x14ac:dyDescent="0.3">
      <c r="A2581" s="13" t="str">
        <f>HYPERLINK("https://parts-sales.ru/parts/MAN/81391266038","81.39126-6038")</f>
        <v>81.39126-6038</v>
      </c>
      <c r="B2581" s="13" t="str">
        <f>HYPERLINK("https://parts-sales.ru/parts/MAN/81391266038","Крестовина карданного вала 57 x 152,4")</f>
        <v>Крестовина карданного вала 57 x 152,4</v>
      </c>
      <c r="C2581" s="5" t="s">
        <v>31</v>
      </c>
      <c r="D2581" s="6">
        <v>99735.23</v>
      </c>
      <c r="E2581" s="6">
        <v>6291</v>
      </c>
      <c r="F2581" s="9">
        <v>0.94</v>
      </c>
      <c r="H2581" s="11"/>
      <c r="I2581" s="11"/>
      <c r="J2581" s="11"/>
    </row>
    <row r="2582" spans="1:10" ht="15.75" x14ac:dyDescent="0.3">
      <c r="A2582" s="12" t="str">
        <f>HYPERLINK("https://parts-sales.ru/parts/MAN/81391266044","81.39126-6044")</f>
        <v>81.39126-6044</v>
      </c>
      <c r="B2582" s="12" t="str">
        <f>HYPERLINK("https://parts-sales.ru/parts/MAN/81391266044","Крестовина карданного вала 65 x 172")</f>
        <v>Крестовина карданного вала 65 x 172</v>
      </c>
      <c r="C2582" s="3" t="s">
        <v>31</v>
      </c>
      <c r="D2582" s="4">
        <v>97402.25</v>
      </c>
      <c r="E2582" s="4">
        <v>40684</v>
      </c>
      <c r="F2582" s="8">
        <v>0.57999999999999996</v>
      </c>
      <c r="H2582" s="11"/>
      <c r="I2582" s="11"/>
      <c r="J2582" s="11"/>
    </row>
    <row r="2583" spans="1:10" ht="15.75" x14ac:dyDescent="0.3">
      <c r="A2583" s="13" t="str">
        <f>HYPERLINK("https://parts-sales.ru/parts/MAN/81391326078","81.39132-6078")</f>
        <v>81.39132-6078</v>
      </c>
      <c r="B2583" s="13" t="str">
        <f>HYPERLINK("https://parts-sales.ru/parts/MAN/81391326078","Карданный вал 780-155-118X3,4")</f>
        <v>Карданный вал 780-155-118X3,4</v>
      </c>
      <c r="C2583" s="5" t="s">
        <v>31</v>
      </c>
      <c r="D2583" s="6">
        <v>238990.9</v>
      </c>
      <c r="E2583" s="6">
        <v>64516</v>
      </c>
      <c r="F2583" s="9">
        <v>0.73</v>
      </c>
      <c r="H2583" s="11"/>
      <c r="I2583" s="11"/>
      <c r="J2583" s="11"/>
    </row>
    <row r="2584" spans="1:10" ht="15.75" x14ac:dyDescent="0.3">
      <c r="A2584" s="12" t="str">
        <f>HYPERLINK("https://parts-sales.ru/parts/MAN/81391436152","81.39143-6152")</f>
        <v>81.39143-6152</v>
      </c>
      <c r="B2584" s="12" t="str">
        <f>HYPERLINK("https://parts-sales.ru/parts/MAN/81391436152","Карданный вал 1520-180-118,4X5,2")</f>
        <v>Карданный вал 1520-180-118,4X5,2</v>
      </c>
      <c r="C2584" s="3" t="s">
        <v>31</v>
      </c>
      <c r="D2584" s="4">
        <v>196220.53</v>
      </c>
      <c r="E2584" s="4">
        <v>58178</v>
      </c>
      <c r="F2584" s="8">
        <v>0.7</v>
      </c>
      <c r="H2584" s="11"/>
      <c r="I2584" s="11"/>
      <c r="J2584" s="11"/>
    </row>
    <row r="2585" spans="1:10" ht="15.75" x14ac:dyDescent="0.3">
      <c r="A2585" s="13" t="str">
        <f>HYPERLINK("https://parts-sales.ru/parts/MAN/81391439152","81.39143-9152")</f>
        <v>81.39143-9152</v>
      </c>
      <c r="B2585" s="13" t="str">
        <f>HYPERLINK("https://parts-sales.ru/parts/MAN/81391439152","Карданный вал CLW+ 25-150-118,4X5,2-1520")</f>
        <v>Карданный вал CLW+ 25-150-118,4X5,2-1520</v>
      </c>
      <c r="C2585" s="5" t="s">
        <v>31</v>
      </c>
      <c r="D2585" s="6">
        <v>187285.2</v>
      </c>
      <c r="E2585" s="6">
        <v>57055</v>
      </c>
      <c r="F2585" s="9">
        <v>0.7</v>
      </c>
      <c r="H2585" s="11"/>
      <c r="I2585" s="11"/>
      <c r="J2585" s="11"/>
    </row>
    <row r="2586" spans="1:10" ht="15.75" x14ac:dyDescent="0.3">
      <c r="A2586" s="12" t="str">
        <f>HYPERLINK("https://parts-sales.ru/parts/MAN/81391446156","81.39144-6156")</f>
        <v>81.39144-6156</v>
      </c>
      <c r="B2586" s="12" t="str">
        <f>HYPERLINK("https://parts-sales.ru/parts/MAN/81391446156","Карданный вал 1560-180-128,4X5,2")</f>
        <v>Карданный вал 1560-180-128,4X5,2</v>
      </c>
      <c r="C2586" s="3" t="s">
        <v>31</v>
      </c>
      <c r="D2586" s="4">
        <v>258529.2</v>
      </c>
      <c r="E2586" s="4">
        <v>112511</v>
      </c>
      <c r="F2586" s="8">
        <v>0.56000000000000005</v>
      </c>
      <c r="H2586" s="11"/>
      <c r="I2586" s="11"/>
      <c r="J2586" s="11"/>
    </row>
    <row r="2587" spans="1:10" ht="15.75" x14ac:dyDescent="0.3">
      <c r="A2587" s="13" t="str">
        <f>HYPERLINK("https://parts-sales.ru/parts/MAN/81391446160","81.39144-6160")</f>
        <v>81.39144-6160</v>
      </c>
      <c r="B2587" s="13" t="str">
        <f>HYPERLINK("https://parts-sales.ru/parts/MAN/81391446160","Карданный вал 1600-180-128,4X5,2")</f>
        <v>Карданный вал 1600-180-128,4X5,2</v>
      </c>
      <c r="C2587" s="5" t="s">
        <v>31</v>
      </c>
      <c r="D2587" s="6">
        <v>262903.2</v>
      </c>
      <c r="E2587" s="6">
        <v>114416</v>
      </c>
      <c r="F2587" s="9">
        <v>0.56000000000000005</v>
      </c>
      <c r="H2587" s="11"/>
      <c r="I2587" s="11"/>
      <c r="J2587" s="11"/>
    </row>
    <row r="2588" spans="1:10" ht="15.75" x14ac:dyDescent="0.3">
      <c r="A2588" s="12" t="str">
        <f>HYPERLINK("https://parts-sales.ru/parts/MAN/81391449160","81.39144-9160")</f>
        <v>81.39144-9160</v>
      </c>
      <c r="B2588" s="12" t="str">
        <f>HYPERLINK("https://parts-sales.ru/parts/MAN/81391449160","Карданный вал CLW+ 30-150-128,4X5,2-1600")</f>
        <v>Карданный вал CLW+ 30-150-128,4X5,2-1600</v>
      </c>
      <c r="C2588" s="3" t="s">
        <v>31</v>
      </c>
      <c r="D2588" s="4">
        <v>230740.8</v>
      </c>
      <c r="E2588" s="4">
        <v>100418</v>
      </c>
      <c r="F2588" s="8">
        <v>0.56000000000000005</v>
      </c>
      <c r="H2588" s="11"/>
      <c r="I2588" s="11"/>
      <c r="J2588" s="11"/>
    </row>
    <row r="2589" spans="1:10" ht="15.75" x14ac:dyDescent="0.3">
      <c r="A2589" s="13" t="str">
        <f>HYPERLINK("https://parts-sales.ru/parts/MAN/81391449186","81.39144-9186")</f>
        <v>81.39144-9186</v>
      </c>
      <c r="B2589" s="13" t="str">
        <f>HYPERLINK("https://parts-sales.ru/parts/MAN/81391449186","Карданный вал CLW+ 30-150-128,4X5,2-1860")</f>
        <v>Карданный вал CLW+ 30-150-128,4X5,2-1860</v>
      </c>
      <c r="C2589" s="5" t="s">
        <v>31</v>
      </c>
      <c r="D2589" s="6">
        <v>217833.60000000001</v>
      </c>
      <c r="E2589" s="6">
        <v>94800</v>
      </c>
      <c r="F2589" s="9">
        <v>0.56000000000000005</v>
      </c>
      <c r="H2589" s="11"/>
      <c r="I2589" s="11"/>
      <c r="J2589" s="11"/>
    </row>
    <row r="2590" spans="1:10" ht="15.75" x14ac:dyDescent="0.3">
      <c r="A2590" s="12" t="str">
        <f>HYPERLINK("https://parts-sales.ru/parts/MAN/81391449198","81.39144-9198")</f>
        <v>81.39144-9198</v>
      </c>
      <c r="B2590" s="12" t="str">
        <f>HYPERLINK("https://parts-sales.ru/parts/MAN/81391449198","Карданный вал CLW+ 30-150-128,4X5,2-1980")</f>
        <v>Карданный вал CLW+ 30-150-128,4X5,2-1980</v>
      </c>
      <c r="C2590" s="3" t="s">
        <v>31</v>
      </c>
      <c r="D2590" s="4">
        <v>219235.54</v>
      </c>
      <c r="E2590" s="4">
        <v>146156</v>
      </c>
      <c r="F2590" s="8">
        <v>0.33</v>
      </c>
      <c r="H2590" s="11"/>
      <c r="I2590" s="11"/>
      <c r="J2590" s="11"/>
    </row>
    <row r="2591" spans="1:10" ht="15.75" x14ac:dyDescent="0.3">
      <c r="A2591" s="13" t="str">
        <f>HYPERLINK("https://parts-sales.ru/parts/MAN/81391449224","81.39144-9224")</f>
        <v>81.39144-9224</v>
      </c>
      <c r="B2591" s="13" t="str">
        <f>HYPERLINK("https://parts-sales.ru/parts/MAN/81391449224","Карданный вал CLW+ 30-150-128,4X5,2-2240")</f>
        <v>Карданный вал CLW+ 30-150-128,4X5,2-2240</v>
      </c>
      <c r="C2591" s="5" t="s">
        <v>31</v>
      </c>
      <c r="D2591" s="6">
        <v>483373.2</v>
      </c>
      <c r="E2591" s="6">
        <v>53587</v>
      </c>
      <c r="F2591" s="9">
        <v>0.89</v>
      </c>
      <c r="H2591" s="11"/>
      <c r="I2591" s="11"/>
      <c r="J2591" s="11"/>
    </row>
    <row r="2592" spans="1:10" ht="15.75" x14ac:dyDescent="0.3">
      <c r="A2592" s="12" t="str">
        <f>HYPERLINK("https://parts-sales.ru/parts/MAN/81391516124","81.39151-6124")</f>
        <v>81.39151-6124</v>
      </c>
      <c r="B2592" s="12" t="str">
        <f>HYPERLINK("https://parts-sales.ru/parts/MAN/81391516124","Карданный вал 1240-155-99,2X4,1")</f>
        <v>Карданный вал 1240-155-99,2X4,1</v>
      </c>
      <c r="C2592" s="3" t="s">
        <v>31</v>
      </c>
      <c r="D2592" s="4">
        <v>270843.05</v>
      </c>
      <c r="E2592" s="4">
        <v>58532</v>
      </c>
      <c r="F2592" s="8">
        <v>0.78</v>
      </c>
      <c r="H2592" s="11"/>
      <c r="I2592" s="11"/>
      <c r="J2592" s="11"/>
    </row>
    <row r="2593" spans="1:10" ht="15.75" x14ac:dyDescent="0.3">
      <c r="A2593" s="13" t="str">
        <f>HYPERLINK("https://parts-sales.ru/parts/MAN/81391519124","81.39151-9124")</f>
        <v>81.39151-9124</v>
      </c>
      <c r="B2593" s="13" t="str">
        <f>HYPERLINK("https://parts-sales.ru/parts/MAN/81391519124","Карданный вал CLW+ 14-130-99,2X4,1-1240")</f>
        <v>Карданный вал CLW+ 14-130-99,2X4,1-1240</v>
      </c>
      <c r="C2593" s="5" t="s">
        <v>31</v>
      </c>
      <c r="D2593" s="6">
        <v>230571.6</v>
      </c>
      <c r="E2593" s="6">
        <v>142535</v>
      </c>
      <c r="F2593" s="9">
        <v>0.38</v>
      </c>
      <c r="H2593" s="11"/>
      <c r="I2593" s="11"/>
      <c r="J2593" s="11"/>
    </row>
    <row r="2594" spans="1:10" ht="15.75" x14ac:dyDescent="0.3">
      <c r="A2594" s="12" t="str">
        <f>HYPERLINK("https://parts-sales.ru/parts/MAN/81391526061","81.39152-6061")</f>
        <v>81.39152-6061</v>
      </c>
      <c r="B2594" s="12" t="str">
        <f>HYPERLINK("https://parts-sales.ru/parts/MAN/81391526061","Карданный вал 610-155-105,2X4,1")</f>
        <v>Карданный вал 610-155-105,2X4,1</v>
      </c>
      <c r="C2594" s="3" t="s">
        <v>31</v>
      </c>
      <c r="D2594" s="4">
        <v>262303.2</v>
      </c>
      <c r="E2594" s="4">
        <v>114153</v>
      </c>
      <c r="F2594" s="8">
        <v>0.56000000000000005</v>
      </c>
      <c r="H2594" s="11"/>
      <c r="I2594" s="11"/>
      <c r="J2594" s="11"/>
    </row>
    <row r="2595" spans="1:10" ht="15.75" x14ac:dyDescent="0.3">
      <c r="A2595" s="13" t="str">
        <f>HYPERLINK("https://parts-sales.ru/parts/MAN/81391529067","81.39152-9067")</f>
        <v>81.39152-9067</v>
      </c>
      <c r="B2595" s="13" t="str">
        <f>HYPERLINK("https://parts-sales.ru/parts/MAN/81391529067","Карданный вал CLW+ 17-130-108,2X4,1- 670")</f>
        <v>Карданный вал CLW+ 17-130-108,2X4,1- 670</v>
      </c>
      <c r="C2595" s="5" t="s">
        <v>31</v>
      </c>
      <c r="D2595" s="6">
        <v>495766.8</v>
      </c>
      <c r="E2595" s="6">
        <v>40077</v>
      </c>
      <c r="F2595" s="9">
        <v>0.92</v>
      </c>
      <c r="H2595" s="11"/>
      <c r="I2595" s="11"/>
      <c r="J2595" s="11"/>
    </row>
    <row r="2596" spans="1:10" ht="15.75" x14ac:dyDescent="0.3">
      <c r="A2596" s="12" t="str">
        <f>HYPERLINK("https://parts-sales.ru/parts/MAN/81391746126","81.39174-6126")</f>
        <v>81.39174-6126</v>
      </c>
      <c r="B2596" s="12" t="str">
        <f>HYPERLINK("https://parts-sales.ru/parts/MAN/81391746126","Шарнир.промежуточный вал 1260-180-128,4X")</f>
        <v>Шарнир.промежуточный вал 1260-180-128,4X</v>
      </c>
      <c r="C2596" s="3" t="s">
        <v>31</v>
      </c>
      <c r="D2596" s="4">
        <v>47583.6</v>
      </c>
      <c r="E2596" s="4">
        <v>24109</v>
      </c>
      <c r="F2596" s="8">
        <v>0.49</v>
      </c>
      <c r="H2596" s="11"/>
      <c r="I2596" s="11"/>
      <c r="J2596" s="11"/>
    </row>
    <row r="2597" spans="1:10" ht="15.75" x14ac:dyDescent="0.3">
      <c r="A2597" s="13" t="str">
        <f>HYPERLINK("https://parts-sales.ru/parts/MAN/81391749095","81.39174-9095")</f>
        <v>81.39174-9095</v>
      </c>
      <c r="B2597" s="13" t="str">
        <f>HYPERLINK("https://parts-sales.ru/parts/MAN/81391749095","Шарнир.промежуточный вал CLW+ 30-150-128")</f>
        <v>Шарнир.промежуточный вал CLW+ 30-150-128</v>
      </c>
      <c r="C2597" s="5" t="s">
        <v>31</v>
      </c>
      <c r="D2597" s="6">
        <v>218382</v>
      </c>
      <c r="E2597" s="6">
        <v>95041</v>
      </c>
      <c r="F2597" s="9">
        <v>0.56000000000000005</v>
      </c>
      <c r="H2597" s="11"/>
      <c r="I2597" s="11"/>
      <c r="J2597" s="11"/>
    </row>
    <row r="2598" spans="1:10" ht="15.75" x14ac:dyDescent="0.3">
      <c r="A2598" s="12" t="str">
        <f>HYPERLINK("https://parts-sales.ru/parts/MAN/81391749126","81.39174-9126")</f>
        <v>81.39174-9126</v>
      </c>
      <c r="B2598" s="12" t="str">
        <f>HYPERLINK("https://parts-sales.ru/parts/MAN/81391749126","Шарнир.промежуточный вал CLW+ 30-150-128")</f>
        <v>Шарнир.промежуточный вал CLW+ 30-150-128</v>
      </c>
      <c r="C2598" s="3" t="s">
        <v>31</v>
      </c>
      <c r="D2598" s="4">
        <v>218759.4</v>
      </c>
      <c r="E2598" s="4">
        <v>102087</v>
      </c>
      <c r="F2598" s="8">
        <v>0.53</v>
      </c>
      <c r="H2598" s="11"/>
      <c r="I2598" s="11"/>
      <c r="J2598" s="11"/>
    </row>
    <row r="2599" spans="1:10" ht="15.75" x14ac:dyDescent="0.3">
      <c r="A2599" s="13" t="str">
        <f>HYPERLINK("https://parts-sales.ru/parts/MAN/81393246124","81.39324-6124")</f>
        <v>81.39324-6124</v>
      </c>
      <c r="B2599" s="13" t="str">
        <f>HYPERLINK("https://parts-sales.ru/parts/MAN/81393246124","Карданный вал 1240-180-155-100X4,5-44-14")</f>
        <v>Карданный вал 1240-180-155-100X4,5-44-14</v>
      </c>
      <c r="C2599" s="5" t="s">
        <v>31</v>
      </c>
      <c r="D2599" s="6">
        <v>201554.21</v>
      </c>
      <c r="E2599" s="6">
        <v>59103</v>
      </c>
      <c r="F2599" s="9">
        <v>0.71</v>
      </c>
      <c r="H2599" s="11"/>
      <c r="I2599" s="11"/>
      <c r="J2599" s="11"/>
    </row>
    <row r="2600" spans="1:10" ht="15.75" x14ac:dyDescent="0.3">
      <c r="A2600" s="12" t="str">
        <f>HYPERLINK("https://parts-sales.ru/parts/MAN/81393256096","81.39325-6096")</f>
        <v>81.39325-6096</v>
      </c>
      <c r="B2600" s="12" t="str">
        <f>HYPERLINK("https://parts-sales.ru/parts/MAN/81393256096","Карданный вал 960-180-120X6")</f>
        <v>Карданный вал 960-180-120X6</v>
      </c>
      <c r="C2600" s="3" t="s">
        <v>31</v>
      </c>
      <c r="D2600" s="4">
        <v>129367.9</v>
      </c>
      <c r="E2600" s="4">
        <v>37935</v>
      </c>
      <c r="F2600" s="8">
        <v>0.71</v>
      </c>
      <c r="H2600" s="11"/>
      <c r="I2600" s="11"/>
      <c r="J2600" s="11"/>
    </row>
    <row r="2601" spans="1:10" ht="15.75" x14ac:dyDescent="0.3">
      <c r="A2601" s="13" t="str">
        <f>HYPERLINK("https://parts-sales.ru/parts/MAN/81393256102","81.39325-6102")</f>
        <v>81.39325-6102</v>
      </c>
      <c r="B2601" s="13" t="str">
        <f>HYPERLINK("https://parts-sales.ru/parts/MAN/81393256102","Карданный вал 1020-180-120X6")</f>
        <v>Карданный вал 1020-180-120X6</v>
      </c>
      <c r="C2601" s="5" t="s">
        <v>31</v>
      </c>
      <c r="D2601" s="6">
        <v>120385.3</v>
      </c>
      <c r="E2601" s="6">
        <v>80257</v>
      </c>
      <c r="F2601" s="9">
        <v>0.33</v>
      </c>
      <c r="H2601" s="11"/>
      <c r="I2601" s="11"/>
      <c r="J2601" s="11"/>
    </row>
    <row r="2602" spans="1:10" ht="15.75" x14ac:dyDescent="0.3">
      <c r="A2602" s="12" t="str">
        <f>HYPERLINK("https://parts-sales.ru/parts/MAN/81393266059","81.39326-6059")</f>
        <v>81.39326-6059</v>
      </c>
      <c r="B2602" s="12" t="str">
        <f>HYPERLINK("https://parts-sales.ru/parts/MAN/81393266059","Карданный вал 590-110-180-130X6-30-30,0")</f>
        <v>Карданный вал 590-110-180-130X6-30-30,0</v>
      </c>
      <c r="C2602" s="3" t="s">
        <v>31</v>
      </c>
      <c r="D2602" s="4">
        <v>154841.04999999999</v>
      </c>
      <c r="E2602" s="4">
        <v>45405</v>
      </c>
      <c r="F2602" s="8">
        <v>0.71</v>
      </c>
      <c r="H2602" s="11"/>
      <c r="I2602" s="11"/>
      <c r="J2602" s="11"/>
    </row>
    <row r="2603" spans="1:10" ht="15.75" x14ac:dyDescent="0.3">
      <c r="A2603" s="13" t="str">
        <f>HYPERLINK("https://parts-sales.ru/parts/MAN/81393266072","81.39326-6072")</f>
        <v>81.39326-6072</v>
      </c>
      <c r="B2603" s="13" t="str">
        <f>HYPERLINK("https://parts-sales.ru/parts/MAN/81393266072","Карданный вал 720-110-180-130X6-30-30,0")</f>
        <v>Карданный вал 720-110-180-130X6-30-30,0</v>
      </c>
      <c r="C2603" s="5" t="s">
        <v>31</v>
      </c>
      <c r="D2603" s="6">
        <v>261326.45</v>
      </c>
      <c r="E2603" s="6">
        <v>91568</v>
      </c>
      <c r="F2603" s="9">
        <v>0.65</v>
      </c>
      <c r="H2603" s="11"/>
      <c r="I2603" s="11"/>
      <c r="J2603" s="11"/>
    </row>
    <row r="2604" spans="1:10" ht="15.75" x14ac:dyDescent="0.3">
      <c r="A2604" s="12" t="str">
        <f>HYPERLINK("https://parts-sales.ru/parts/MAN/81393266166","81.39326-6166")</f>
        <v>81.39326-6166</v>
      </c>
      <c r="B2604" s="12" t="str">
        <f>HYPERLINK("https://parts-sales.ru/parts/MAN/81393266166","Карданный вал 1660-180-130X6")</f>
        <v>Карданный вал 1660-180-130X6</v>
      </c>
      <c r="C2604" s="3" t="s">
        <v>31</v>
      </c>
      <c r="D2604" s="4">
        <v>235555.26</v>
      </c>
      <c r="E2604" s="4">
        <v>98676</v>
      </c>
      <c r="F2604" s="8">
        <v>0.57999999999999996</v>
      </c>
      <c r="H2604" s="11"/>
      <c r="I2604" s="11"/>
      <c r="J2604" s="11"/>
    </row>
    <row r="2605" spans="1:10" ht="15.75" x14ac:dyDescent="0.3">
      <c r="A2605" s="13" t="str">
        <f>HYPERLINK("https://parts-sales.ru/parts/MAN/81393289156","81.39328-9156")</f>
        <v>81.39328-9156</v>
      </c>
      <c r="B2605" s="13" t="str">
        <f>HYPERLINK("https://parts-sales.ru/parts/MAN/81393289156","Карданный вал CLW-17-130-110X5-1560")</f>
        <v>Карданный вал CLW-17-130-110X5-1560</v>
      </c>
      <c r="C2605" s="5" t="s">
        <v>31</v>
      </c>
      <c r="D2605" s="6">
        <v>222163.20000000001</v>
      </c>
      <c r="E2605" s="6">
        <v>87896</v>
      </c>
      <c r="F2605" s="9">
        <v>0.6</v>
      </c>
      <c r="H2605" s="11"/>
      <c r="I2605" s="11"/>
      <c r="J2605" s="11"/>
    </row>
    <row r="2606" spans="1:10" ht="15.75" x14ac:dyDescent="0.3">
      <c r="A2606" s="12" t="str">
        <f>HYPERLINK("https://parts-sales.ru/parts/MAN/81393836168","81.39383-6168")</f>
        <v>81.39383-6168</v>
      </c>
      <c r="B2606" s="12" t="str">
        <f>HYPERLINK("https://parts-sales.ru/parts/MAN/81393836168","Шарнир.промежуточный вал 1680-180-120X4-")</f>
        <v>Шарнир.промежуточный вал 1680-180-120X4-</v>
      </c>
      <c r="C2606" s="3" t="s">
        <v>31</v>
      </c>
      <c r="D2606" s="4">
        <v>167877.6</v>
      </c>
      <c r="E2606" s="4">
        <v>67482</v>
      </c>
      <c r="F2606" s="8">
        <v>0.6</v>
      </c>
      <c r="H2606" s="11"/>
      <c r="I2606" s="11"/>
      <c r="J2606" s="11"/>
    </row>
    <row r="2607" spans="1:10" ht="15.75" x14ac:dyDescent="0.3">
      <c r="A2607" s="13" t="str">
        <f>HYPERLINK("https://parts-sales.ru/parts/MAN/81393906188","81.39390-6188")</f>
        <v>81.39390-6188</v>
      </c>
      <c r="B2607" s="13" t="str">
        <f>HYPERLINK("https://parts-sales.ru/parts/MAN/81393906188","Карданный вал 940-180-120X6")</f>
        <v>Карданный вал 940-180-120X6</v>
      </c>
      <c r="C2607" s="5" t="s">
        <v>31</v>
      </c>
      <c r="D2607" s="6">
        <v>256043.69</v>
      </c>
      <c r="E2607" s="6">
        <v>169454</v>
      </c>
      <c r="F2607" s="9">
        <v>0.34</v>
      </c>
      <c r="H2607" s="11"/>
      <c r="I2607" s="11"/>
      <c r="J2607" s="11"/>
    </row>
    <row r="2608" spans="1:10" ht="15.75" x14ac:dyDescent="0.3">
      <c r="A2608" s="12" t="str">
        <f>HYPERLINK("https://parts-sales.ru/parts/MAN/81393909213","81.39390-9213")</f>
        <v>81.39390-9213</v>
      </c>
      <c r="B2608" s="12" t="str">
        <f>HYPERLINK("https://parts-sales.ru/parts/MAN/81393909213","Карданный вал AUSF XD+ABSCHM LZ= 940")</f>
        <v>Карданный вал AUSF XD+ABSCHM LZ= 940</v>
      </c>
      <c r="C2608" s="3" t="s">
        <v>31</v>
      </c>
      <c r="D2608" s="4">
        <v>202704.19</v>
      </c>
      <c r="E2608" s="4">
        <v>94595</v>
      </c>
      <c r="F2608" s="8">
        <v>0.53</v>
      </c>
      <c r="H2608" s="11"/>
      <c r="I2608" s="11"/>
      <c r="J2608" s="11"/>
    </row>
    <row r="2609" spans="1:10" ht="15.75" x14ac:dyDescent="0.3">
      <c r="A2609" s="13" t="str">
        <f>HYPERLINK("https://parts-sales.ru/parts/MAN/81394400119","81.39440-0119")</f>
        <v>81.39440-0119</v>
      </c>
      <c r="B2609" s="13" t="str">
        <f>HYPERLINK("https://parts-sales.ru/parts/MAN/81394400119","Держатель")</f>
        <v>Держатель</v>
      </c>
      <c r="C2609" s="5" t="s">
        <v>31</v>
      </c>
      <c r="D2609" s="6">
        <v>11935.26</v>
      </c>
      <c r="E2609" s="6">
        <v>5469</v>
      </c>
      <c r="F2609" s="9">
        <v>0.54</v>
      </c>
      <c r="H2609" s="11"/>
      <c r="I2609" s="11"/>
      <c r="J2609" s="11"/>
    </row>
    <row r="2610" spans="1:10" ht="15.75" x14ac:dyDescent="0.3">
      <c r="A2610" s="12" t="str">
        <f>HYPERLINK("https://parts-sales.ru/parts/MAN/81411040040","81.41104-0040")</f>
        <v>81.41104-0040</v>
      </c>
      <c r="B2610" s="12" t="str">
        <f>HYPERLINK("https://parts-sales.ru/parts/MAN/81411040040","Прокладка")</f>
        <v>Прокладка</v>
      </c>
      <c r="C2610" s="3" t="s">
        <v>32</v>
      </c>
      <c r="D2610" s="4">
        <v>16104</v>
      </c>
      <c r="E2610" s="4">
        <v>2438</v>
      </c>
      <c r="F2610" s="8">
        <v>0.85</v>
      </c>
      <c r="H2610" s="11"/>
      <c r="I2610" s="11"/>
      <c r="J2610" s="11"/>
    </row>
    <row r="2611" spans="1:10" ht="15.75" x14ac:dyDescent="0.3">
      <c r="A2611" s="13" t="str">
        <f>HYPERLINK("https://parts-sales.ru/parts/MAN/81412055094","81.41205-5094")</f>
        <v>81.41205-5094</v>
      </c>
      <c r="B2611" s="13" t="str">
        <f>HYPERLINK("https://parts-sales.ru/parts/MAN/81412055094","Держатель")</f>
        <v>Держатель</v>
      </c>
      <c r="C2611" s="5" t="s">
        <v>32</v>
      </c>
      <c r="D2611" s="6">
        <v>45469.2</v>
      </c>
      <c r="E2611" s="6">
        <v>5338</v>
      </c>
      <c r="F2611" s="9">
        <v>0.88</v>
      </c>
      <c r="H2611" s="11"/>
      <c r="I2611" s="11"/>
      <c r="J2611" s="11"/>
    </row>
    <row r="2612" spans="1:10" ht="15.75" x14ac:dyDescent="0.3">
      <c r="A2612" s="12" t="str">
        <f>HYPERLINK("https://parts-sales.ru/parts/MAN/81412055095","81.41205-5095")</f>
        <v>81.41205-5095</v>
      </c>
      <c r="B2612" s="12" t="str">
        <f>HYPERLINK("https://parts-sales.ru/parts/MAN/81412055095","Держатель")</f>
        <v>Держатель</v>
      </c>
      <c r="C2612" s="3" t="s">
        <v>32</v>
      </c>
      <c r="D2612" s="4">
        <v>6897.16</v>
      </c>
      <c r="E2612" s="4">
        <v>4608</v>
      </c>
      <c r="F2612" s="8">
        <v>0.33</v>
      </c>
      <c r="H2612" s="11"/>
      <c r="I2612" s="11"/>
      <c r="J2612" s="11"/>
    </row>
    <row r="2613" spans="1:10" ht="15.75" x14ac:dyDescent="0.3">
      <c r="A2613" s="13" t="str">
        <f>HYPERLINK("https://parts-sales.ru/parts/MAN/81412055099","81.41205-5099")</f>
        <v>81.41205-5099</v>
      </c>
      <c r="B2613" s="13" t="str">
        <f>HYPERLINK("https://parts-sales.ru/parts/MAN/81412055099","Держатель")</f>
        <v>Держатель</v>
      </c>
      <c r="C2613" s="5" t="s">
        <v>32</v>
      </c>
      <c r="D2613" s="6">
        <v>5802</v>
      </c>
      <c r="E2613" s="6">
        <v>1215</v>
      </c>
      <c r="F2613" s="9">
        <v>0.79</v>
      </c>
      <c r="H2613" s="11"/>
      <c r="I2613" s="11"/>
      <c r="J2613" s="11"/>
    </row>
    <row r="2614" spans="1:10" ht="15.75" x14ac:dyDescent="0.3">
      <c r="A2614" s="12" t="str">
        <f>HYPERLINK("https://parts-sales.ru/parts/MAN/81412055100","81.41205-5100")</f>
        <v>81.41205-5100</v>
      </c>
      <c r="B2614" s="12" t="str">
        <f>HYPERLINK("https://parts-sales.ru/parts/MAN/81412055100","Держатель")</f>
        <v>Держатель</v>
      </c>
      <c r="C2614" s="3" t="s">
        <v>32</v>
      </c>
      <c r="D2614" s="4">
        <v>3745.26</v>
      </c>
      <c r="E2614" s="4">
        <v>1961</v>
      </c>
      <c r="F2614" s="8">
        <v>0.48</v>
      </c>
      <c r="H2614" s="11"/>
      <c r="I2614" s="11"/>
      <c r="J2614" s="11"/>
    </row>
    <row r="2615" spans="1:10" ht="15.75" x14ac:dyDescent="0.3">
      <c r="A2615" s="13" t="str">
        <f>HYPERLINK("https://parts-sales.ru/parts/MAN/81412102045","81.41210-2045")</f>
        <v>81.41210-2045</v>
      </c>
      <c r="B2615" s="13" t="str">
        <f>HYPERLINK("https://parts-sales.ru/parts/MAN/81412102045","Траверса")</f>
        <v>Траверса</v>
      </c>
      <c r="C2615" s="5" t="s">
        <v>32</v>
      </c>
      <c r="D2615" s="6">
        <v>3723.16</v>
      </c>
      <c r="E2615" s="6">
        <v>1092</v>
      </c>
      <c r="F2615" s="9">
        <v>0.71</v>
      </c>
      <c r="H2615" s="11"/>
      <c r="I2615" s="11"/>
      <c r="J2615" s="11"/>
    </row>
    <row r="2616" spans="1:10" ht="15.75" x14ac:dyDescent="0.3">
      <c r="A2616" s="12" t="str">
        <f>HYPERLINK("https://parts-sales.ru/parts/MAN/81412500141","81.41250-0141")</f>
        <v>81.41250-0141</v>
      </c>
      <c r="B2616" s="12" t="str">
        <f>HYPERLINK("https://parts-sales.ru/parts/MAN/81412500141","Торцевая поперечная балка")</f>
        <v>Торцевая поперечная балка</v>
      </c>
      <c r="C2616" s="3" t="s">
        <v>32</v>
      </c>
      <c r="D2616" s="4">
        <v>15652.1</v>
      </c>
      <c r="E2616" s="4">
        <v>9220</v>
      </c>
      <c r="F2616" s="8">
        <v>0.41</v>
      </c>
      <c r="H2616" s="11"/>
      <c r="I2616" s="11"/>
      <c r="J2616" s="11"/>
    </row>
    <row r="2617" spans="1:10" ht="15.75" x14ac:dyDescent="0.3">
      <c r="A2617" s="13" t="str">
        <f>HYPERLINK("https://parts-sales.ru/parts/MAN/81412800055","81.41280-0055")</f>
        <v>81.41280-0055</v>
      </c>
      <c r="B2617" s="13" t="str">
        <f>HYPERLINK("https://parts-sales.ru/parts/MAN/81412800055","Траверса")</f>
        <v>Траверса</v>
      </c>
      <c r="C2617" s="5" t="s">
        <v>32</v>
      </c>
      <c r="D2617" s="6">
        <v>7122</v>
      </c>
      <c r="E2617" s="6">
        <v>2548</v>
      </c>
      <c r="F2617" s="9">
        <v>0.64</v>
      </c>
      <c r="H2617" s="11"/>
      <c r="I2617" s="11"/>
      <c r="J2617" s="11"/>
    </row>
    <row r="2618" spans="1:10" ht="15.75" x14ac:dyDescent="0.3">
      <c r="A2618" s="12" t="str">
        <f>HYPERLINK("https://parts-sales.ru/parts/MAN/81412802647","81.41280-2647")</f>
        <v>81.41280-2647</v>
      </c>
      <c r="B2618" s="12" t="str">
        <f>HYPERLINK("https://parts-sales.ru/parts/MAN/81412802647","Прижимная пружина")</f>
        <v>Прижимная пружина</v>
      </c>
      <c r="C2618" s="3" t="s">
        <v>32</v>
      </c>
      <c r="D2618" s="4">
        <v>333.6</v>
      </c>
      <c r="E2618" s="4">
        <v>22</v>
      </c>
      <c r="F2618" s="8">
        <v>0.93</v>
      </c>
      <c r="H2618" s="11"/>
      <c r="I2618" s="11"/>
      <c r="J2618" s="11"/>
    </row>
    <row r="2619" spans="1:10" ht="15.75" x14ac:dyDescent="0.3">
      <c r="A2619" s="13" t="str">
        <f>HYPERLINK("https://parts-sales.ru/parts/MAN/81412805598","81.41280-5598")</f>
        <v>81.41280-5598</v>
      </c>
      <c r="B2619" s="13" t="str">
        <f>HYPERLINK("https://parts-sales.ru/parts/MAN/81412805598","Передняя поперечная балка")</f>
        <v>Передняя поперечная балка</v>
      </c>
      <c r="C2619" s="5" t="s">
        <v>32</v>
      </c>
      <c r="D2619" s="6">
        <v>223098</v>
      </c>
      <c r="E2619" s="6">
        <v>137915</v>
      </c>
      <c r="F2619" s="9">
        <v>0.38</v>
      </c>
      <c r="H2619" s="11"/>
      <c r="I2619" s="11"/>
      <c r="J2619" s="11"/>
    </row>
    <row r="2620" spans="1:10" ht="15.75" x14ac:dyDescent="0.3">
      <c r="A2620" s="12" t="str">
        <f>HYPERLINK("https://parts-sales.ru/parts/MAN/81412806043","81.41280-6043")</f>
        <v>81.41280-6043</v>
      </c>
      <c r="B2620" s="12" t="str">
        <f>HYPERLINK("https://parts-sales.ru/parts/MAN/81412806043","Передняя поперечная балка")</f>
        <v>Передняя поперечная балка</v>
      </c>
      <c r="C2620" s="3" t="s">
        <v>32</v>
      </c>
      <c r="D2620" s="4">
        <v>59400</v>
      </c>
      <c r="E2620" s="4">
        <v>16252</v>
      </c>
      <c r="F2620" s="8">
        <v>0.73</v>
      </c>
      <c r="H2620" s="11"/>
      <c r="I2620" s="11"/>
      <c r="J2620" s="11"/>
    </row>
    <row r="2621" spans="1:10" ht="15.75" x14ac:dyDescent="0.3">
      <c r="A2621" s="13" t="str">
        <f>HYPERLINK("https://parts-sales.ru/parts/MAN/81413016143","81.41301-6143")</f>
        <v>81.41301-6143</v>
      </c>
      <c r="B2621" s="13" t="str">
        <f>HYPERLINK("https://parts-sales.ru/parts/MAN/81413016143","Кронштейн рессоры. Сборка")</f>
        <v>Кронштейн рессоры. Сборка</v>
      </c>
      <c r="C2621" s="5" t="s">
        <v>32</v>
      </c>
      <c r="D2621" s="6">
        <v>37161.599999999999</v>
      </c>
      <c r="E2621" s="6">
        <v>8648</v>
      </c>
      <c r="F2621" s="9">
        <v>0.77</v>
      </c>
      <c r="H2621" s="11"/>
      <c r="I2621" s="11"/>
      <c r="J2621" s="11"/>
    </row>
    <row r="2622" spans="1:10" ht="15.75" x14ac:dyDescent="0.3">
      <c r="A2622" s="12" t="str">
        <f>HYPERLINK("https://parts-sales.ru/parts/MAN/81413016154","81.41301-6154")</f>
        <v>81.41301-6154</v>
      </c>
      <c r="B2622" s="12" t="str">
        <f>HYPERLINK("https://parts-sales.ru/parts/MAN/81413016154","Кронштейн рессоры")</f>
        <v>Кронштейн рессоры</v>
      </c>
      <c r="C2622" s="3" t="s">
        <v>32</v>
      </c>
      <c r="D2622" s="4">
        <v>21296.400000000001</v>
      </c>
      <c r="E2622" s="4">
        <v>10283</v>
      </c>
      <c r="F2622" s="8">
        <v>0.52</v>
      </c>
      <c r="H2622" s="11"/>
      <c r="I2622" s="11"/>
      <c r="J2622" s="11"/>
    </row>
    <row r="2623" spans="1:10" ht="15.75" x14ac:dyDescent="0.3">
      <c r="A2623" s="13" t="str">
        <f>HYPERLINK("https://parts-sales.ru/parts/MAN/81413016158","81.41301-6158")</f>
        <v>81.41301-6158</v>
      </c>
      <c r="B2623" s="13" t="str">
        <f>HYPERLINK("https://parts-sales.ru/parts/MAN/81413016158","Кронштейн передней рессоры")</f>
        <v>Кронштейн передней рессоры</v>
      </c>
      <c r="C2623" s="5" t="s">
        <v>32</v>
      </c>
      <c r="D2623" s="6">
        <v>45100.800000000003</v>
      </c>
      <c r="E2623" s="6">
        <v>5894</v>
      </c>
      <c r="F2623" s="9">
        <v>0.87</v>
      </c>
      <c r="H2623" s="11"/>
      <c r="I2623" s="11"/>
      <c r="J2623" s="11"/>
    </row>
    <row r="2624" spans="1:10" ht="15.75" x14ac:dyDescent="0.3">
      <c r="A2624" s="12" t="str">
        <f>HYPERLINK("https://parts-sales.ru/parts/MAN/81413030084","81.41303-0084")</f>
        <v>81.41303-0084</v>
      </c>
      <c r="B2624" s="12" t="str">
        <f>HYPERLINK("https://parts-sales.ru/parts/MAN/81413030084","Рессорная серьга")</f>
        <v>Рессорная серьга</v>
      </c>
      <c r="C2624" s="3" t="s">
        <v>32</v>
      </c>
      <c r="D2624" s="4">
        <v>9339.6</v>
      </c>
      <c r="E2624" s="4">
        <v>645</v>
      </c>
      <c r="F2624" s="8">
        <v>0.93</v>
      </c>
      <c r="H2624" s="11"/>
      <c r="I2624" s="11"/>
      <c r="J2624" s="11"/>
    </row>
    <row r="2625" spans="1:10" ht="15.75" x14ac:dyDescent="0.3">
      <c r="A2625" s="13" t="str">
        <f>HYPERLINK("https://parts-sales.ru/parts/MAN/81413040054","81.41304-0054")</f>
        <v>81.41304-0054</v>
      </c>
      <c r="B2625" s="13" t="str">
        <f>HYPERLINK("https://parts-sales.ru/parts/MAN/81413040054","Втулка")</f>
        <v>Втулка</v>
      </c>
      <c r="C2625" s="5" t="s">
        <v>32</v>
      </c>
      <c r="D2625" s="6">
        <v>2020.8</v>
      </c>
      <c r="E2625" s="6">
        <v>271</v>
      </c>
      <c r="F2625" s="9">
        <v>0.87</v>
      </c>
      <c r="H2625" s="11"/>
      <c r="I2625" s="11"/>
      <c r="J2625" s="11"/>
    </row>
    <row r="2626" spans="1:10" ht="15.75" x14ac:dyDescent="0.3">
      <c r="A2626" s="12" t="str">
        <f>HYPERLINK("https://parts-sales.ru/parts/MAN/81413076022","81.41307-6022")</f>
        <v>81.41307-6022</v>
      </c>
      <c r="B2626" s="12" t="str">
        <f>HYPERLINK("https://parts-sales.ru/parts/MAN/81413076022","Кронштейн задней рессоры")</f>
        <v>Кронштейн задней рессоры</v>
      </c>
      <c r="C2626" s="3" t="s">
        <v>32</v>
      </c>
      <c r="D2626" s="4">
        <v>50464.800000000003</v>
      </c>
      <c r="E2626" s="4">
        <v>10593</v>
      </c>
      <c r="F2626" s="8">
        <v>0.79</v>
      </c>
      <c r="H2626" s="11"/>
      <c r="I2626" s="11"/>
      <c r="J2626" s="11"/>
    </row>
    <row r="2627" spans="1:10" ht="15.75" x14ac:dyDescent="0.3">
      <c r="A2627" s="13" t="str">
        <f>HYPERLINK("https://parts-sales.ru/parts/MAN/81413130046","81.41313-0046")</f>
        <v>81.41313-0046</v>
      </c>
      <c r="B2627" s="13" t="str">
        <f>HYPERLINK("https://parts-sales.ru/parts/MAN/81413130046","Составная опора справа")</f>
        <v>Составная опора справа</v>
      </c>
      <c r="C2627" s="5" t="s">
        <v>32</v>
      </c>
      <c r="D2627" s="6">
        <v>15361.2</v>
      </c>
      <c r="E2627" s="6">
        <v>8653</v>
      </c>
      <c r="F2627" s="9">
        <v>0.44</v>
      </c>
      <c r="H2627" s="11"/>
      <c r="I2627" s="11"/>
      <c r="J2627" s="11"/>
    </row>
    <row r="2628" spans="1:10" ht="15.75" x14ac:dyDescent="0.3">
      <c r="A2628" s="12" t="str">
        <f>HYPERLINK("https://parts-sales.ru/parts/MAN/81413350145","81.41335-0145")</f>
        <v>81.41335-0145</v>
      </c>
      <c r="B2628" s="12" t="str">
        <f>HYPERLINK("https://parts-sales.ru/parts/MAN/81413350145","Накладка стремянки рессоры")</f>
        <v>Накладка стремянки рессоры</v>
      </c>
      <c r="C2628" s="3" t="s">
        <v>32</v>
      </c>
      <c r="D2628" s="4">
        <v>817.9</v>
      </c>
      <c r="E2628" s="4">
        <v>240</v>
      </c>
      <c r="F2628" s="8">
        <v>0.71</v>
      </c>
      <c r="H2628" s="11"/>
      <c r="I2628" s="11"/>
      <c r="J2628" s="11"/>
    </row>
    <row r="2629" spans="1:10" ht="15.75" x14ac:dyDescent="0.3">
      <c r="A2629" s="13" t="str">
        <f>HYPERLINK("https://parts-sales.ru/parts/MAN/81413360117","81.41336-0117")</f>
        <v>81.41336-0117</v>
      </c>
      <c r="B2629" s="13" t="str">
        <f>HYPERLINK("https://parts-sales.ru/parts/MAN/81413360117","Призматическая шпонка 80X6,5/1,0X155X17,")</f>
        <v>Призматическая шпонка 80X6,5/1,0X155X17,</v>
      </c>
      <c r="C2629" s="5" t="s">
        <v>32</v>
      </c>
      <c r="D2629" s="6">
        <v>14872.8</v>
      </c>
      <c r="E2629" s="6">
        <v>3035</v>
      </c>
      <c r="F2629" s="9">
        <v>0.8</v>
      </c>
      <c r="H2629" s="11"/>
      <c r="I2629" s="11"/>
      <c r="J2629" s="11"/>
    </row>
    <row r="2630" spans="1:10" ht="15.75" x14ac:dyDescent="0.3">
      <c r="A2630" s="12" t="str">
        <f>HYPERLINK("https://parts-sales.ru/parts/MAN/81413360130","81.41336-0130")</f>
        <v>81.41336-0130</v>
      </c>
      <c r="B2630" s="12" t="str">
        <f>HYPERLINK("https://parts-sales.ru/parts/MAN/81413360130","Призматическая шпонка 90X7,0/2,0X172X28,")</f>
        <v>Призматическая шпонка 90X7,0/2,0X172X28,</v>
      </c>
      <c r="C2630" s="3" t="s">
        <v>32</v>
      </c>
      <c r="D2630" s="4">
        <v>12039.6</v>
      </c>
      <c r="E2630" s="4">
        <v>2187</v>
      </c>
      <c r="F2630" s="8">
        <v>0.82</v>
      </c>
      <c r="H2630" s="11"/>
      <c r="I2630" s="11"/>
      <c r="J2630" s="11"/>
    </row>
    <row r="2631" spans="1:10" ht="15.75" x14ac:dyDescent="0.3">
      <c r="A2631" s="13" t="str">
        <f>HYPERLINK("https://parts-sales.ru/parts/MAN/81413360142","81.41336-0142")</f>
        <v>81.41336-0142</v>
      </c>
      <c r="B2631" s="13" t="str">
        <f>HYPERLINK("https://parts-sales.ru/parts/MAN/81413360142","Призматическая шпонка 80X35,0/26,7X190X1")</f>
        <v>Призматическая шпонка 80X35,0/26,7X190X1</v>
      </c>
      <c r="C2631" s="5" t="s">
        <v>32</v>
      </c>
      <c r="D2631" s="6">
        <v>20966.400000000001</v>
      </c>
      <c r="E2631" s="6">
        <v>4262</v>
      </c>
      <c r="F2631" s="9">
        <v>0.8</v>
      </c>
      <c r="H2631" s="11"/>
      <c r="I2631" s="11"/>
      <c r="J2631" s="11"/>
    </row>
    <row r="2632" spans="1:10" ht="15.75" x14ac:dyDescent="0.3">
      <c r="A2632" s="12" t="str">
        <f>HYPERLINK("https://parts-sales.ru/parts/MAN/81413360143","81.41336-0143")</f>
        <v>81.41336-0143</v>
      </c>
      <c r="B2632" s="12" t="str">
        <f>HYPERLINK("https://parts-sales.ru/parts/MAN/81413360143","Призматическая шпонка 80X17,0/12,0X160X2")</f>
        <v>Призматическая шпонка 80X17,0/12,0X160X2</v>
      </c>
      <c r="C2632" s="3" t="s">
        <v>32</v>
      </c>
      <c r="D2632" s="4">
        <v>11708.4</v>
      </c>
      <c r="E2632" s="4">
        <v>2360</v>
      </c>
      <c r="F2632" s="8">
        <v>0.8</v>
      </c>
      <c r="H2632" s="11"/>
      <c r="I2632" s="11"/>
      <c r="J2632" s="11"/>
    </row>
    <row r="2633" spans="1:10" ht="15.75" x14ac:dyDescent="0.3">
      <c r="A2633" s="13" t="str">
        <f>HYPERLINK("https://parts-sales.ru/parts/MAN/81413360155","81.41336-0155")</f>
        <v>81.41336-0155</v>
      </c>
      <c r="B2633" s="13" t="str">
        <f>HYPERLINK("https://parts-sales.ru/parts/MAN/81413360155","Подкладка рессоры 90X20X172X28,0-GGG40")</f>
        <v>Подкладка рессоры 90X20X172X28,0-GGG40</v>
      </c>
      <c r="C2633" s="5" t="s">
        <v>32</v>
      </c>
      <c r="D2633" s="6">
        <v>17662.8</v>
      </c>
      <c r="E2633" s="6">
        <v>3952</v>
      </c>
      <c r="F2633" s="9">
        <v>0.78</v>
      </c>
      <c r="H2633" s="11"/>
      <c r="I2633" s="11"/>
      <c r="J2633" s="11"/>
    </row>
    <row r="2634" spans="1:10" ht="15.75" x14ac:dyDescent="0.3">
      <c r="A2634" s="12" t="str">
        <f>HYPERLINK("https://parts-sales.ru/parts/MAN/81413360158","81.41336-0158")</f>
        <v>81.41336-0158</v>
      </c>
      <c r="B2634" s="12" t="str">
        <f>HYPERLINK("https://parts-sales.ru/parts/MAN/81413360158","Призматическая шпонка 80X5,0/2,0X165X20,")</f>
        <v>Призматическая шпонка 80X5,0/2,0X165X20,</v>
      </c>
      <c r="C2634" s="3" t="s">
        <v>32</v>
      </c>
      <c r="D2634" s="4">
        <v>25095.599999999999</v>
      </c>
      <c r="E2634" s="4">
        <v>1756</v>
      </c>
      <c r="F2634" s="8">
        <v>0.93</v>
      </c>
      <c r="H2634" s="11"/>
      <c r="I2634" s="11"/>
      <c r="J2634" s="11"/>
    </row>
    <row r="2635" spans="1:10" ht="15.75" x14ac:dyDescent="0.3">
      <c r="A2635" s="13" t="str">
        <f>HYPERLINK("https://parts-sales.ru/parts/MAN/81413360163","81.41336-0163")</f>
        <v>81.41336-0163</v>
      </c>
      <c r="B2635" s="13" t="str">
        <f>HYPERLINK("https://parts-sales.ru/parts/MAN/81413360163","Призматическая шпонка 80X9,0/1,0X170X17,")</f>
        <v>Призматическая шпонка 80X9,0/1,0X170X17,</v>
      </c>
      <c r="C2635" s="5" t="s">
        <v>32</v>
      </c>
      <c r="D2635" s="6">
        <v>17566.8</v>
      </c>
      <c r="E2635" s="6">
        <v>3570</v>
      </c>
      <c r="F2635" s="9">
        <v>0.8</v>
      </c>
      <c r="H2635" s="11"/>
      <c r="I2635" s="11"/>
      <c r="J2635" s="11"/>
    </row>
    <row r="2636" spans="1:10" ht="15.75" x14ac:dyDescent="0.3">
      <c r="A2636" s="12" t="str">
        <f>HYPERLINK("https://parts-sales.ru/parts/MAN/81413360170","81.41336-0170")</f>
        <v>81.41336-0170</v>
      </c>
      <c r="B2636" s="12" t="str">
        <f>HYPERLINK("https://parts-sales.ru/parts/MAN/81413360170","Призматическая шпонка 80X24,0/21,0X165X2")</f>
        <v>Призматическая шпонка 80X24,0/21,0X165X2</v>
      </c>
      <c r="C2636" s="3" t="s">
        <v>32</v>
      </c>
      <c r="D2636" s="4">
        <v>11427.6</v>
      </c>
      <c r="E2636" s="4">
        <v>2311</v>
      </c>
      <c r="F2636" s="8">
        <v>0.8</v>
      </c>
      <c r="H2636" s="11"/>
      <c r="I2636" s="11"/>
      <c r="J2636" s="11"/>
    </row>
    <row r="2637" spans="1:10" ht="15.75" x14ac:dyDescent="0.3">
      <c r="A2637" s="13" t="str">
        <f>HYPERLINK("https://parts-sales.ru/parts/MAN/81413360195","81.41336-0195")</f>
        <v>81.41336-0195</v>
      </c>
      <c r="B2637" s="13" t="str">
        <f>HYPERLINK("https://parts-sales.ru/parts/MAN/81413360195","Подкладка рессоры 90X95X180X28,0")</f>
        <v>Подкладка рессоры 90X95X180X28,0</v>
      </c>
      <c r="C2637" s="5" t="s">
        <v>32</v>
      </c>
      <c r="D2637" s="6">
        <v>42674.400000000001</v>
      </c>
      <c r="E2637" s="6">
        <v>1100</v>
      </c>
      <c r="F2637" s="9">
        <v>0.97</v>
      </c>
      <c r="H2637" s="11"/>
      <c r="I2637" s="11"/>
      <c r="J2637" s="11"/>
    </row>
    <row r="2638" spans="1:10" ht="15.75" x14ac:dyDescent="0.3">
      <c r="A2638" s="12" t="str">
        <f>HYPERLINK("https://parts-sales.ru/parts/MAN/81413506016","81.41350-6016")</f>
        <v>81.41350-6016</v>
      </c>
      <c r="B2638" s="12" t="str">
        <f>HYPERLINK("https://parts-sales.ru/parts/MAN/81413506016","Балансир в сборе (81.41301-0269+81.41350-0017+81.96210-0508)")</f>
        <v>Балансир в сборе (81.41301-0269+81.41350-0017+81.96210-0508)</v>
      </c>
      <c r="C2638" s="3" t="s">
        <v>32</v>
      </c>
      <c r="D2638" s="4">
        <v>40696.800000000003</v>
      </c>
      <c r="E2638" s="4">
        <v>16101</v>
      </c>
      <c r="F2638" s="8">
        <v>0.6</v>
      </c>
      <c r="H2638" s="11"/>
      <c r="I2638" s="11"/>
      <c r="J2638" s="11"/>
    </row>
    <row r="2639" spans="1:10" ht="15.75" x14ac:dyDescent="0.3">
      <c r="A2639" s="13" t="str">
        <f>HYPERLINK("https://parts-sales.ru/parts/MAN/81413506017","81.41350-6017")</f>
        <v>81.41350-6017</v>
      </c>
      <c r="B2639" s="13" t="str">
        <f>HYPERLINK("https://parts-sales.ru/parts/MAN/81413506017","Балансир в сборе  (81.41301-0242+81.41350-0017+81.96210-0508)")</f>
        <v>Балансир в сборе  (81.41301-0242+81.41350-0017+81.96210-0508)</v>
      </c>
      <c r="C2639" s="5" t="s">
        <v>32</v>
      </c>
      <c r="D2639" s="6">
        <v>57829.16</v>
      </c>
      <c r="E2639" s="6">
        <v>38464</v>
      </c>
      <c r="F2639" s="9">
        <v>0.33</v>
      </c>
      <c r="H2639" s="11"/>
      <c r="I2639" s="11"/>
      <c r="J2639" s="11"/>
    </row>
    <row r="2640" spans="1:10" ht="15.75" x14ac:dyDescent="0.3">
      <c r="A2640" s="12" t="str">
        <f>HYPERLINK("https://parts-sales.ru/parts/MAN/81414016021","81.41401-6021")</f>
        <v>81.41401-6021</v>
      </c>
      <c r="B2640" s="12" t="str">
        <f>HYPERLINK("https://parts-sales.ru/parts/MAN/81414016021","Отбойник рессоры. Сборка")</f>
        <v>Отбойник рессоры. Сборка</v>
      </c>
      <c r="C2640" s="3" t="s">
        <v>32</v>
      </c>
      <c r="D2640" s="4">
        <v>3529.2</v>
      </c>
      <c r="E2640" s="4">
        <v>460</v>
      </c>
      <c r="F2640" s="8">
        <v>0.87</v>
      </c>
      <c r="H2640" s="11"/>
      <c r="I2640" s="11"/>
      <c r="J2640" s="11"/>
    </row>
    <row r="2641" spans="1:10" ht="15.75" x14ac:dyDescent="0.3">
      <c r="A2641" s="13" t="str">
        <f>HYPERLINK("https://parts-sales.ru/parts/MAN/81414016037","81.41401-6037")</f>
        <v>81.41401-6037</v>
      </c>
      <c r="B2641" s="13" t="str">
        <f>HYPERLINK("https://parts-sales.ru/parts/MAN/81414016037","Упорный буфер")</f>
        <v>Упорный буфер</v>
      </c>
      <c r="C2641" s="5" t="s">
        <v>32</v>
      </c>
      <c r="D2641" s="6">
        <v>19170</v>
      </c>
      <c r="E2641" s="6">
        <v>3022</v>
      </c>
      <c r="F2641" s="9">
        <v>0.84</v>
      </c>
      <c r="H2641" s="11"/>
      <c r="I2641" s="11"/>
      <c r="J2641" s="11"/>
    </row>
    <row r="2642" spans="1:10" ht="15.75" x14ac:dyDescent="0.3">
      <c r="A2642" s="12" t="str">
        <f>HYPERLINK("https://parts-sales.ru/parts/MAN/81416100225","81.41610-0225")</f>
        <v>81.41610-0225</v>
      </c>
      <c r="B2642" s="12" t="str">
        <f>HYPERLINK("https://parts-sales.ru/parts/MAN/81416100225","Угловая часть")</f>
        <v>Угловая часть</v>
      </c>
      <c r="C2642" s="3" t="s">
        <v>32</v>
      </c>
      <c r="D2642" s="4">
        <v>11402.4</v>
      </c>
      <c r="E2642" s="4">
        <v>1545</v>
      </c>
      <c r="F2642" s="8">
        <v>0.86</v>
      </c>
      <c r="H2642" s="11"/>
      <c r="I2642" s="11"/>
      <c r="J2642" s="11"/>
    </row>
    <row r="2643" spans="1:10" ht="15.75" x14ac:dyDescent="0.3">
      <c r="A2643" s="13" t="str">
        <f>HYPERLINK("https://parts-sales.ru/parts/MAN/81416100227","81.41610-0227")</f>
        <v>81.41610-0227</v>
      </c>
      <c r="B2643" s="13" t="str">
        <f>HYPERLINK("https://parts-sales.ru/parts/MAN/81416100227","Угловая часть")</f>
        <v>Угловая часть</v>
      </c>
      <c r="C2643" s="5" t="s">
        <v>32</v>
      </c>
      <c r="D2643" s="6">
        <v>11402.4</v>
      </c>
      <c r="E2643" s="6">
        <v>1001</v>
      </c>
      <c r="F2643" s="9">
        <v>0.91</v>
      </c>
      <c r="H2643" s="11"/>
      <c r="I2643" s="11"/>
      <c r="J2643" s="11"/>
    </row>
    <row r="2644" spans="1:10" ht="15.75" x14ac:dyDescent="0.3">
      <c r="A2644" s="12" t="str">
        <f>HYPERLINK("https://parts-sales.ru/parts/MAN/81416100228","81.41610-0228")</f>
        <v>81.41610-0228</v>
      </c>
      <c r="B2644" s="12" t="str">
        <f>HYPERLINK("https://parts-sales.ru/parts/MAN/81416100228","Угловая часть")</f>
        <v>Угловая часть</v>
      </c>
      <c r="C2644" s="3" t="s">
        <v>32</v>
      </c>
      <c r="D2644" s="4">
        <v>11402.4</v>
      </c>
      <c r="E2644" s="4">
        <v>1186</v>
      </c>
      <c r="F2644" s="8">
        <v>0.9</v>
      </c>
      <c r="H2644" s="11"/>
      <c r="I2644" s="11"/>
      <c r="J2644" s="11"/>
    </row>
    <row r="2645" spans="1:10" ht="15.75" x14ac:dyDescent="0.3">
      <c r="A2645" s="13" t="str">
        <f>HYPERLINK("https://parts-sales.ru/parts/MAN/81416100230","81.41610-0230")</f>
        <v>81.41610-0230</v>
      </c>
      <c r="B2645" s="13" t="str">
        <f>HYPERLINK("https://parts-sales.ru/parts/MAN/81416100230","Крышка амортизатора")</f>
        <v>Крышка амортизатора</v>
      </c>
      <c r="C2645" s="5" t="s">
        <v>32</v>
      </c>
      <c r="D2645" s="6">
        <v>5761.2</v>
      </c>
      <c r="E2645" s="6">
        <v>1114</v>
      </c>
      <c r="F2645" s="9">
        <v>0.81</v>
      </c>
      <c r="H2645" s="11"/>
      <c r="I2645" s="11"/>
      <c r="J2645" s="11"/>
    </row>
    <row r="2646" spans="1:10" ht="15.75" x14ac:dyDescent="0.3">
      <c r="A2646" s="12" t="str">
        <f>HYPERLINK("https://parts-sales.ru/parts/MAN/81416100231","81.41610-0231")</f>
        <v>81.41610-0231</v>
      </c>
      <c r="B2646" s="12" t="str">
        <f>HYPERLINK("https://parts-sales.ru/parts/MAN/81416100231","Крышка амортизатора")</f>
        <v>Крышка амортизатора</v>
      </c>
      <c r="C2646" s="3" t="s">
        <v>32</v>
      </c>
      <c r="D2646" s="4">
        <v>6672</v>
      </c>
      <c r="E2646" s="4">
        <v>1338</v>
      </c>
      <c r="F2646" s="8">
        <v>0.8</v>
      </c>
      <c r="H2646" s="11"/>
      <c r="I2646" s="11"/>
      <c r="J2646" s="11"/>
    </row>
    <row r="2647" spans="1:10" ht="15.75" x14ac:dyDescent="0.3">
      <c r="A2647" s="13" t="str">
        <f>HYPERLINK("https://parts-sales.ru/parts/MAN/81416100434","81.41610-0434")</f>
        <v>81.41610-0434</v>
      </c>
      <c r="B2647" s="13" t="str">
        <f>HYPERLINK("https://parts-sales.ru/parts/MAN/81416100434","Шайба 8,4X32,4X7,1-C15E2C-MAN183-B4")</f>
        <v>Шайба 8,4X32,4X7,1-C15E2C-MAN183-B4</v>
      </c>
      <c r="C2647" s="5" t="s">
        <v>32</v>
      </c>
      <c r="D2647" s="6">
        <v>361.2</v>
      </c>
      <c r="E2647" s="6">
        <v>18</v>
      </c>
      <c r="F2647" s="9">
        <v>0.95</v>
      </c>
      <c r="H2647" s="11"/>
      <c r="I2647" s="11"/>
      <c r="J2647" s="11"/>
    </row>
    <row r="2648" spans="1:10" ht="15.75" x14ac:dyDescent="0.3">
      <c r="A2648" s="12" t="str">
        <f>HYPERLINK("https://parts-sales.ru/parts/MAN/81416100559","81.41610-0559")</f>
        <v>81.41610-0559</v>
      </c>
      <c r="B2648" s="12" t="str">
        <f>HYPERLINK("https://parts-sales.ru/parts/MAN/81416100559","Крышка")</f>
        <v>Крышка</v>
      </c>
      <c r="C2648" s="3" t="s">
        <v>32</v>
      </c>
      <c r="D2648" s="4">
        <v>4479.6000000000004</v>
      </c>
      <c r="E2648" s="4">
        <v>1355</v>
      </c>
      <c r="F2648" s="8">
        <v>0.7</v>
      </c>
      <c r="H2648" s="11"/>
      <c r="I2648" s="11"/>
      <c r="J2648" s="11"/>
    </row>
    <row r="2649" spans="1:10" ht="15.75" x14ac:dyDescent="0.3">
      <c r="A2649" s="13" t="str">
        <f>HYPERLINK("https://parts-sales.ru/parts/MAN/81416100578","81.41610-0578")</f>
        <v>81.41610-0578</v>
      </c>
      <c r="B2649" s="13" t="str">
        <f>HYPERLINK("https://parts-sales.ru/parts/MAN/81416100578","Скоба кронштейн фонаря")</f>
        <v>Скоба кронштейн фонаря</v>
      </c>
      <c r="C2649" s="5" t="s">
        <v>32</v>
      </c>
      <c r="D2649" s="6">
        <v>730.8</v>
      </c>
      <c r="E2649" s="6">
        <v>126</v>
      </c>
      <c r="F2649" s="9">
        <v>0.83</v>
      </c>
      <c r="H2649" s="11"/>
      <c r="I2649" s="11"/>
      <c r="J2649" s="11"/>
    </row>
    <row r="2650" spans="1:10" ht="15.75" x14ac:dyDescent="0.3">
      <c r="A2650" s="12" t="str">
        <f>HYPERLINK("https://parts-sales.ru/parts/MAN/81416100717","81.41610-0717")</f>
        <v>81.41610-0717</v>
      </c>
      <c r="B2650" s="12" t="str">
        <f>HYPERLINK("https://parts-sales.ru/parts/MAN/81416100717","Декоративная крышка")</f>
        <v>Декоративная крышка</v>
      </c>
      <c r="C2650" s="3" t="s">
        <v>32</v>
      </c>
      <c r="D2650" s="4">
        <v>2522.4</v>
      </c>
      <c r="E2650" s="4">
        <v>1398</v>
      </c>
      <c r="F2650" s="8">
        <v>0.45</v>
      </c>
      <c r="H2650" s="11"/>
      <c r="I2650" s="11"/>
      <c r="J2650" s="11"/>
    </row>
    <row r="2651" spans="1:10" ht="15.75" x14ac:dyDescent="0.3">
      <c r="A2651" s="13" t="str">
        <f>HYPERLINK("https://parts-sales.ru/parts/MAN/81416100718","81.41610-0718")</f>
        <v>81.41610-0718</v>
      </c>
      <c r="B2651" s="13" t="str">
        <f>HYPERLINK("https://parts-sales.ru/parts/MAN/81416100718","Декоративная крышка")</f>
        <v>Декоративная крышка</v>
      </c>
      <c r="C2651" s="5" t="s">
        <v>32</v>
      </c>
      <c r="D2651" s="6">
        <v>2650.29</v>
      </c>
      <c r="E2651" s="6">
        <v>1584</v>
      </c>
      <c r="F2651" s="9">
        <v>0.4</v>
      </c>
      <c r="H2651" s="11"/>
      <c r="I2651" s="11"/>
      <c r="J2651" s="11"/>
    </row>
    <row r="2652" spans="1:10" ht="15.75" x14ac:dyDescent="0.3">
      <c r="A2652" s="12" t="str">
        <f>HYPERLINK("https://parts-sales.ru/parts/MAN/81416100832","81.41610-0832")</f>
        <v>81.41610-0832</v>
      </c>
      <c r="B2652" s="12" t="str">
        <f>HYPERLINK("https://parts-sales.ru/parts/MAN/81416100832","Накладка педали")</f>
        <v>Накладка педали</v>
      </c>
      <c r="C2652" s="3" t="s">
        <v>32</v>
      </c>
      <c r="D2652" s="4">
        <v>1149.5999999999999</v>
      </c>
      <c r="E2652" s="4">
        <v>149</v>
      </c>
      <c r="F2652" s="8">
        <v>0.87</v>
      </c>
      <c r="H2652" s="11"/>
      <c r="I2652" s="11"/>
      <c r="J2652" s="11"/>
    </row>
    <row r="2653" spans="1:10" ht="15.75" x14ac:dyDescent="0.3">
      <c r="A2653" s="13" t="str">
        <f>HYPERLINK("https://parts-sales.ru/parts/MAN/81416100833","81.41610-0833")</f>
        <v>81.41610-0833</v>
      </c>
      <c r="B2653" s="13" t="str">
        <f>HYPERLINK("https://parts-sales.ru/parts/MAN/81416100833","Крепежная скоба")</f>
        <v>Крепежная скоба</v>
      </c>
      <c r="C2653" s="5" t="s">
        <v>32</v>
      </c>
      <c r="D2653" s="6">
        <v>171.6</v>
      </c>
      <c r="E2653" s="6">
        <v>18</v>
      </c>
      <c r="F2653" s="9">
        <v>0.9</v>
      </c>
      <c r="H2653" s="11"/>
      <c r="I2653" s="11"/>
      <c r="J2653" s="11"/>
    </row>
    <row r="2654" spans="1:10" ht="15.75" x14ac:dyDescent="0.3">
      <c r="A2654" s="12" t="str">
        <f>HYPERLINK("https://parts-sales.ru/parts/MAN/81416100835","81.41610-0835")</f>
        <v>81.41610-0835</v>
      </c>
      <c r="B2654" s="12" t="str">
        <f>HYPERLINK("https://parts-sales.ru/parts/MAN/81416100835","Бок. часть стальн. бампера")</f>
        <v>Бок. часть стальн. бампера</v>
      </c>
      <c r="C2654" s="3" t="s">
        <v>32</v>
      </c>
      <c r="D2654" s="4">
        <v>87552</v>
      </c>
      <c r="E2654" s="4">
        <v>30536</v>
      </c>
      <c r="F2654" s="8">
        <v>0.65</v>
      </c>
      <c r="H2654" s="11"/>
      <c r="I2654" s="11"/>
      <c r="J2654" s="11"/>
    </row>
    <row r="2655" spans="1:10" ht="15.75" x14ac:dyDescent="0.3">
      <c r="A2655" s="13" t="str">
        <f>HYPERLINK("https://parts-sales.ru/parts/MAN/81416100836","81.41610-0836")</f>
        <v>81.41610-0836</v>
      </c>
      <c r="B2655" s="13" t="str">
        <f>HYPERLINK("https://parts-sales.ru/parts/MAN/81416100836","Бок. часть стальн. бампера")</f>
        <v>Бок. часть стальн. бампера</v>
      </c>
      <c r="C2655" s="5" t="s">
        <v>32</v>
      </c>
      <c r="D2655" s="6">
        <v>30848.400000000001</v>
      </c>
      <c r="E2655" s="6">
        <v>6252</v>
      </c>
      <c r="F2655" s="9">
        <v>0.8</v>
      </c>
      <c r="H2655" s="11"/>
      <c r="I2655" s="11"/>
      <c r="J2655" s="11"/>
    </row>
    <row r="2656" spans="1:10" ht="15.75" x14ac:dyDescent="0.3">
      <c r="A2656" s="12" t="str">
        <f>HYPERLINK("https://parts-sales.ru/parts/MAN/81416100837","81.41610-0837")</f>
        <v>81.41610-0837</v>
      </c>
      <c r="B2656" s="12" t="str">
        <f>HYPERLINK("https://parts-sales.ru/parts/MAN/81416100837","Бок. часть стальн. бампера")</f>
        <v>Бок. часть стальн. бампера</v>
      </c>
      <c r="C2656" s="3" t="s">
        <v>32</v>
      </c>
      <c r="D2656" s="4">
        <v>20565.599999999999</v>
      </c>
      <c r="E2656" s="4">
        <v>5627</v>
      </c>
      <c r="F2656" s="8">
        <v>0.73</v>
      </c>
      <c r="H2656" s="11"/>
      <c r="I2656" s="11"/>
      <c r="J2656" s="11"/>
    </row>
    <row r="2657" spans="1:10" ht="15.75" x14ac:dyDescent="0.3">
      <c r="A2657" s="13" t="str">
        <f>HYPERLINK("https://parts-sales.ru/parts/MAN/81416100884","81.41610-0884")</f>
        <v>81.41610-0884</v>
      </c>
      <c r="B2657" s="13" t="str">
        <f>HYPERLINK("https://parts-sales.ru/parts/MAN/81416100884","Шарнир")</f>
        <v>Шарнир</v>
      </c>
      <c r="C2657" s="5" t="s">
        <v>32</v>
      </c>
      <c r="D2657" s="6">
        <v>253.2</v>
      </c>
      <c r="E2657" s="6">
        <v>8</v>
      </c>
      <c r="F2657" s="9">
        <v>0.97</v>
      </c>
      <c r="H2657" s="11"/>
      <c r="I2657" s="11"/>
      <c r="J2657" s="11"/>
    </row>
    <row r="2658" spans="1:10" ht="15.75" x14ac:dyDescent="0.3">
      <c r="A2658" s="12" t="str">
        <f>HYPERLINK("https://parts-sales.ru/parts/MAN/81416100886","81.41610-0886")</f>
        <v>81.41610-0886</v>
      </c>
      <c r="B2658" s="12" t="str">
        <f>HYPERLINK("https://parts-sales.ru/parts/MAN/81416100886","Предохранительная сетка")</f>
        <v>Предохранительная сетка</v>
      </c>
      <c r="C2658" s="3" t="s">
        <v>32</v>
      </c>
      <c r="D2658" s="4">
        <v>11844</v>
      </c>
      <c r="E2658" s="4">
        <v>3635</v>
      </c>
      <c r="F2658" s="8">
        <v>0.69</v>
      </c>
      <c r="H2658" s="11"/>
      <c r="I2658" s="11"/>
      <c r="J2658" s="11"/>
    </row>
    <row r="2659" spans="1:10" ht="15.75" x14ac:dyDescent="0.3">
      <c r="A2659" s="13" t="str">
        <f>HYPERLINK("https://parts-sales.ru/parts/MAN/81416100888","81.41610-0888")</f>
        <v>81.41610-0888</v>
      </c>
      <c r="B2659" s="13" t="str">
        <f>HYPERLINK("https://parts-sales.ru/parts/MAN/81416100888","Предохранительная сетка")</f>
        <v>Предохранительная сетка</v>
      </c>
      <c r="C2659" s="5" t="s">
        <v>32</v>
      </c>
      <c r="D2659" s="6">
        <v>1981.2</v>
      </c>
      <c r="E2659" s="6">
        <v>216</v>
      </c>
      <c r="F2659" s="9">
        <v>0.89</v>
      </c>
      <c r="H2659" s="11"/>
      <c r="I2659" s="11"/>
      <c r="J2659" s="11"/>
    </row>
    <row r="2660" spans="1:10" ht="15.75" x14ac:dyDescent="0.3">
      <c r="A2660" s="12" t="str">
        <f>HYPERLINK("https://parts-sales.ru/parts/MAN/81416100891","81.41610-0891")</f>
        <v>81.41610-0891</v>
      </c>
      <c r="B2660" s="12" t="str">
        <f>HYPERLINK("https://parts-sales.ru/parts/MAN/81416100891","Предохранительная сетка")</f>
        <v>Предохранительная сетка</v>
      </c>
      <c r="C2660" s="3" t="s">
        <v>32</v>
      </c>
      <c r="D2660" s="4">
        <v>4724.3999999999996</v>
      </c>
      <c r="E2660" s="4">
        <v>521</v>
      </c>
      <c r="F2660" s="8">
        <v>0.89</v>
      </c>
      <c r="H2660" s="11"/>
      <c r="I2660" s="11"/>
      <c r="J2660" s="11"/>
    </row>
    <row r="2661" spans="1:10" ht="15.75" x14ac:dyDescent="0.3">
      <c r="A2661" s="13" t="str">
        <f>HYPERLINK("https://parts-sales.ru/parts/MAN/81416100892","81.41610-0892")</f>
        <v>81.41610-0892</v>
      </c>
      <c r="B2661" s="13" t="str">
        <f>HYPERLINK("https://parts-sales.ru/parts/MAN/81416100892","Предохранительная сетка")</f>
        <v>Предохранительная сетка</v>
      </c>
      <c r="C2661" s="5" t="s">
        <v>32</v>
      </c>
      <c r="D2661" s="6">
        <v>7567.2</v>
      </c>
      <c r="E2661" s="6">
        <v>944</v>
      </c>
      <c r="F2661" s="9">
        <v>0.88</v>
      </c>
      <c r="H2661" s="11"/>
      <c r="I2661" s="11"/>
      <c r="J2661" s="11"/>
    </row>
    <row r="2662" spans="1:10" ht="15.75" x14ac:dyDescent="0.3">
      <c r="A2662" s="12" t="str">
        <f>HYPERLINK("https://parts-sales.ru/parts/MAN/81416100981","81.41610-0981")</f>
        <v>81.41610-0981</v>
      </c>
      <c r="B2662" s="12" t="str">
        <f>HYPERLINK("https://parts-sales.ru/parts/MAN/81416100981","Адаптер")</f>
        <v>Адаптер</v>
      </c>
      <c r="C2662" s="3" t="s">
        <v>32</v>
      </c>
      <c r="D2662" s="4">
        <v>12274.8</v>
      </c>
      <c r="E2662" s="4">
        <v>2443</v>
      </c>
      <c r="F2662" s="8">
        <v>0.8</v>
      </c>
      <c r="H2662" s="11"/>
      <c r="I2662" s="11"/>
      <c r="J2662" s="11"/>
    </row>
    <row r="2663" spans="1:10" ht="15.75" x14ac:dyDescent="0.3">
      <c r="A2663" s="13" t="str">
        <f>HYPERLINK("https://parts-sales.ru/parts/MAN/81416100996","81.41610-0996")</f>
        <v>81.41610-0996</v>
      </c>
      <c r="B2663" s="13" t="str">
        <f>HYPERLINK("https://parts-sales.ru/parts/MAN/81416100996","Кожух Очистит. установка для фар")</f>
        <v>Кожух Очистит. установка для фар</v>
      </c>
      <c r="C2663" s="5" t="s">
        <v>32</v>
      </c>
      <c r="D2663" s="6">
        <v>9924</v>
      </c>
      <c r="E2663" s="6">
        <v>5739</v>
      </c>
      <c r="F2663" s="9">
        <v>0.42</v>
      </c>
      <c r="H2663" s="11"/>
      <c r="I2663" s="11"/>
      <c r="J2663" s="11"/>
    </row>
    <row r="2664" spans="1:10" ht="15.75" x14ac:dyDescent="0.3">
      <c r="A2664" s="12" t="str">
        <f>HYPERLINK("https://parts-sales.ru/parts/MAN/81416100997","81.41610-0997")</f>
        <v>81.41610-0997</v>
      </c>
      <c r="B2664" s="12" t="str">
        <f>HYPERLINK("https://parts-sales.ru/parts/MAN/81416100997","Кожух Очистит. установка для фар")</f>
        <v>Кожух Очистит. установка для фар</v>
      </c>
      <c r="C2664" s="3" t="s">
        <v>32</v>
      </c>
      <c r="D2664" s="4">
        <v>9924</v>
      </c>
      <c r="E2664" s="4">
        <v>5739</v>
      </c>
      <c r="F2664" s="8">
        <v>0.42</v>
      </c>
      <c r="H2664" s="11"/>
      <c r="I2664" s="11"/>
      <c r="J2664" s="11"/>
    </row>
    <row r="2665" spans="1:10" ht="15.75" x14ac:dyDescent="0.3">
      <c r="A2665" s="13" t="str">
        <f>HYPERLINK("https://parts-sales.ru/parts/MAN/81416102881","81.41610-2881")</f>
        <v>81.41610-2881</v>
      </c>
      <c r="B2665" s="13" t="str">
        <f>HYPERLINK("https://parts-sales.ru/parts/MAN/81416102881","Накладка педали короткий")</f>
        <v>Накладка педали короткий</v>
      </c>
      <c r="C2665" s="5" t="s">
        <v>32</v>
      </c>
      <c r="D2665" s="6">
        <v>2883.6</v>
      </c>
      <c r="E2665" s="6">
        <v>568</v>
      </c>
      <c r="F2665" s="9">
        <v>0.8</v>
      </c>
      <c r="H2665" s="11"/>
      <c r="I2665" s="11"/>
      <c r="J2665" s="11"/>
    </row>
    <row r="2666" spans="1:10" ht="15.75" x14ac:dyDescent="0.3">
      <c r="A2666" s="12" t="str">
        <f>HYPERLINK("https://parts-sales.ru/parts/MAN/81416105570","81.41610-5570")</f>
        <v>81.41610-5570</v>
      </c>
      <c r="B2666" s="12" t="str">
        <f>HYPERLINK("https://parts-sales.ru/parts/MAN/81416105570","Заслонка")</f>
        <v>Заслонка</v>
      </c>
      <c r="C2666" s="3" t="s">
        <v>32</v>
      </c>
      <c r="D2666" s="4">
        <v>80402.399999999994</v>
      </c>
      <c r="E2666" s="4">
        <v>17131</v>
      </c>
      <c r="F2666" s="8">
        <v>0.79</v>
      </c>
      <c r="H2666" s="11"/>
      <c r="I2666" s="11"/>
      <c r="J2666" s="11"/>
    </row>
    <row r="2667" spans="1:10" ht="15.75" x14ac:dyDescent="0.3">
      <c r="A2667" s="13" t="str">
        <f>HYPERLINK("https://parts-sales.ru/parts/MAN/81416105571","81.41610-5571")</f>
        <v>81.41610-5571</v>
      </c>
      <c r="B2667" s="13" t="str">
        <f>HYPERLINK("https://parts-sales.ru/parts/MAN/81416105571","Держатель")</f>
        <v>Держатель</v>
      </c>
      <c r="C2667" s="5" t="s">
        <v>32</v>
      </c>
      <c r="D2667" s="6">
        <v>7526.4</v>
      </c>
      <c r="E2667" s="6">
        <v>1941</v>
      </c>
      <c r="F2667" s="9">
        <v>0.74</v>
      </c>
      <c r="H2667" s="11"/>
      <c r="I2667" s="11"/>
      <c r="J2667" s="11"/>
    </row>
    <row r="2668" spans="1:10" ht="15.75" x14ac:dyDescent="0.3">
      <c r="A2668" s="12" t="str">
        <f>HYPERLINK("https://parts-sales.ru/parts/MAN/81416105610","81.41610-5610")</f>
        <v>81.41610-5610</v>
      </c>
      <c r="B2668" s="12" t="str">
        <f>HYPERLINK("https://parts-sales.ru/parts/MAN/81416105610","Бампер стальной")</f>
        <v>Бампер стальной</v>
      </c>
      <c r="C2668" s="3" t="s">
        <v>32</v>
      </c>
      <c r="D2668" s="4">
        <v>117117.6</v>
      </c>
      <c r="E2668" s="4">
        <v>26774</v>
      </c>
      <c r="F2668" s="8">
        <v>0.77</v>
      </c>
      <c r="H2668" s="11"/>
      <c r="I2668" s="11"/>
      <c r="J2668" s="11"/>
    </row>
    <row r="2669" spans="1:10" ht="15.75" x14ac:dyDescent="0.3">
      <c r="A2669" s="13" t="str">
        <f>HYPERLINK("https://parts-sales.ru/parts/MAN/81416105720","81.41610-5720")</f>
        <v>81.41610-5720</v>
      </c>
      <c r="B2669" s="13" t="str">
        <f>HYPERLINK("https://parts-sales.ru/parts/MAN/81416105720","Ср. часть стальн. бампера")</f>
        <v>Ср. часть стальн. бампера</v>
      </c>
      <c r="C2669" s="5" t="s">
        <v>32</v>
      </c>
      <c r="D2669" s="6">
        <v>78410.66</v>
      </c>
      <c r="E2669" s="6">
        <v>36592</v>
      </c>
      <c r="F2669" s="9">
        <v>0.53</v>
      </c>
      <c r="H2669" s="11"/>
      <c r="I2669" s="11"/>
      <c r="J2669" s="11"/>
    </row>
    <row r="2670" spans="1:10" ht="15.75" x14ac:dyDescent="0.3">
      <c r="A2670" s="12" t="str">
        <f>HYPERLINK("https://parts-sales.ru/parts/MAN/81416105794","81.41610-5794")</f>
        <v>81.41610-5794</v>
      </c>
      <c r="B2670" s="12" t="str">
        <f>HYPERLINK("https://parts-sales.ru/parts/MAN/81416105794","Держатель")</f>
        <v>Держатель</v>
      </c>
      <c r="C2670" s="3" t="s">
        <v>32</v>
      </c>
      <c r="D2670" s="4">
        <v>146443.54</v>
      </c>
      <c r="E2670" s="4">
        <v>61216</v>
      </c>
      <c r="F2670" s="8">
        <v>0.57999999999999996</v>
      </c>
      <c r="H2670" s="11"/>
      <c r="I2670" s="11"/>
      <c r="J2670" s="11"/>
    </row>
    <row r="2671" spans="1:10" ht="15.75" x14ac:dyDescent="0.3">
      <c r="A2671" s="13" t="str">
        <f>HYPERLINK("https://parts-sales.ru/parts/MAN/81416105795","81.41610-5795")</f>
        <v>81.41610-5795</v>
      </c>
      <c r="B2671" s="13" t="str">
        <f>HYPERLINK("https://parts-sales.ru/parts/MAN/81416105795","Держатель")</f>
        <v>Держатель</v>
      </c>
      <c r="C2671" s="5" t="s">
        <v>32</v>
      </c>
      <c r="D2671" s="6">
        <v>4975.2</v>
      </c>
      <c r="E2671" s="6">
        <v>583</v>
      </c>
      <c r="F2671" s="9">
        <v>0.88</v>
      </c>
      <c r="H2671" s="11"/>
      <c r="I2671" s="11"/>
      <c r="J2671" s="11"/>
    </row>
    <row r="2672" spans="1:10" ht="15.75" x14ac:dyDescent="0.3">
      <c r="A2672" s="12" t="str">
        <f>HYPERLINK("https://parts-sales.ru/parts/MAN/81416105803","81.41610-5803")</f>
        <v>81.41610-5803</v>
      </c>
      <c r="B2672" s="12" t="str">
        <f>HYPERLINK("https://parts-sales.ru/parts/MAN/81416105803","Несущая балка")</f>
        <v>Несущая балка</v>
      </c>
      <c r="C2672" s="3" t="s">
        <v>32</v>
      </c>
      <c r="D2672" s="4">
        <v>34134</v>
      </c>
      <c r="E2672" s="4">
        <v>8286</v>
      </c>
      <c r="F2672" s="8">
        <v>0.76</v>
      </c>
      <c r="H2672" s="11"/>
      <c r="I2672" s="11"/>
      <c r="J2672" s="11"/>
    </row>
    <row r="2673" spans="1:10" ht="15.75" x14ac:dyDescent="0.3">
      <c r="A2673" s="13" t="str">
        <f>HYPERLINK("https://parts-sales.ru/parts/MAN/81416105832","81.41610-5832")</f>
        <v>81.41610-5832</v>
      </c>
      <c r="B2673" s="13" t="str">
        <f>HYPERLINK("https://parts-sales.ru/parts/MAN/81416105832","Бок. часть пласт. бампера")</f>
        <v>Бок. часть пласт. бампера</v>
      </c>
      <c r="C2673" s="5" t="s">
        <v>32</v>
      </c>
      <c r="D2673" s="6">
        <v>71943.600000000006</v>
      </c>
      <c r="E2673" s="6">
        <v>35048</v>
      </c>
      <c r="F2673" s="9">
        <v>0.51</v>
      </c>
      <c r="H2673" s="11"/>
      <c r="I2673" s="11"/>
      <c r="J2673" s="11"/>
    </row>
    <row r="2674" spans="1:10" ht="15.75" x14ac:dyDescent="0.3">
      <c r="A2674" s="12" t="str">
        <f>HYPERLINK("https://parts-sales.ru/parts/MAN/81416105833","81.41610-5833")</f>
        <v>81.41610-5833</v>
      </c>
      <c r="B2674" s="12" t="str">
        <f>HYPERLINK("https://parts-sales.ru/parts/MAN/81416105833","Бок. часть пласт. бампера")</f>
        <v>Бок. часть пласт. бампера</v>
      </c>
      <c r="C2674" s="3" t="s">
        <v>32</v>
      </c>
      <c r="D2674" s="4">
        <v>37731.019999999997</v>
      </c>
      <c r="E2674" s="4">
        <v>25154</v>
      </c>
      <c r="F2674" s="8">
        <v>0.33</v>
      </c>
      <c r="H2674" s="11"/>
      <c r="I2674" s="11"/>
      <c r="J2674" s="11"/>
    </row>
    <row r="2675" spans="1:10" ht="15.75" x14ac:dyDescent="0.3">
      <c r="A2675" s="13" t="str">
        <f>HYPERLINK("https://parts-sales.ru/parts/MAN/81416106986","81.41610-6986")</f>
        <v>81.41610-6986</v>
      </c>
      <c r="B2675" s="13" t="str">
        <f>HYPERLINK("https://parts-sales.ru/parts/MAN/81416106986","Подножка переднего бампера в сборе")</f>
        <v>Подножка переднего бампера в сборе</v>
      </c>
      <c r="C2675" s="5" t="s">
        <v>32</v>
      </c>
      <c r="D2675" s="6">
        <v>12207.6</v>
      </c>
      <c r="E2675" s="6">
        <v>1591</v>
      </c>
      <c r="F2675" s="9">
        <v>0.87</v>
      </c>
      <c r="H2675" s="11"/>
      <c r="I2675" s="11"/>
      <c r="J2675" s="11"/>
    </row>
    <row r="2676" spans="1:10" ht="15.75" x14ac:dyDescent="0.3">
      <c r="A2676" s="12" t="str">
        <f>HYPERLINK("https://parts-sales.ru/parts/MAN/81416140023","81.41614-0023")</f>
        <v>81.41614-0023</v>
      </c>
      <c r="B2676" s="12" t="str">
        <f>HYPERLINK("https://parts-sales.ru/parts/MAN/81416140023","Угловая часть")</f>
        <v>Угловая часть</v>
      </c>
      <c r="C2676" s="3" t="s">
        <v>32</v>
      </c>
      <c r="D2676" s="4">
        <v>17455.2</v>
      </c>
      <c r="E2676" s="4">
        <v>6270</v>
      </c>
      <c r="F2676" s="8">
        <v>0.64</v>
      </c>
      <c r="H2676" s="11"/>
      <c r="I2676" s="11"/>
      <c r="J2676" s="11"/>
    </row>
    <row r="2677" spans="1:10" ht="15.75" x14ac:dyDescent="0.3">
      <c r="A2677" s="13" t="str">
        <f>HYPERLINK("https://parts-sales.ru/parts/MAN/81416140024","81.41614-0024")</f>
        <v>81.41614-0024</v>
      </c>
      <c r="B2677" s="13" t="str">
        <f>HYPERLINK("https://parts-sales.ru/parts/MAN/81416140024","Угловая часть")</f>
        <v>Угловая часть</v>
      </c>
      <c r="C2677" s="5" t="s">
        <v>32</v>
      </c>
      <c r="D2677" s="6">
        <v>15116.4</v>
      </c>
      <c r="E2677" s="6">
        <v>6155</v>
      </c>
      <c r="F2677" s="9">
        <v>0.59</v>
      </c>
      <c r="H2677" s="11"/>
      <c r="I2677" s="11"/>
      <c r="J2677" s="11"/>
    </row>
    <row r="2678" spans="1:10" ht="15.75" x14ac:dyDescent="0.3">
      <c r="A2678" s="12" t="str">
        <f>HYPERLINK("https://parts-sales.ru/parts/MAN/81416140055","81.41614-0055")</f>
        <v>81.41614-0055</v>
      </c>
      <c r="B2678" s="12" t="str">
        <f>HYPERLINK("https://parts-sales.ru/parts/MAN/81416140055","Держатель")</f>
        <v>Держатель</v>
      </c>
      <c r="C2678" s="3" t="s">
        <v>32</v>
      </c>
      <c r="D2678" s="4">
        <v>3603.6</v>
      </c>
      <c r="E2678" s="4">
        <v>1195</v>
      </c>
      <c r="F2678" s="8">
        <v>0.67</v>
      </c>
      <c r="H2678" s="11"/>
      <c r="I2678" s="11"/>
      <c r="J2678" s="11"/>
    </row>
    <row r="2679" spans="1:10" ht="15.75" x14ac:dyDescent="0.3">
      <c r="A2679" s="13" t="str">
        <f>HYPERLINK("https://parts-sales.ru/parts/MAN/81416144000","81.41614-4000")</f>
        <v>81.41614-4000</v>
      </c>
      <c r="B2679" s="13" t="str">
        <f>HYPERLINK("https://parts-sales.ru/parts/MAN/81416144000","Заслонка хромированный глянцевый")</f>
        <v>Заслонка хромированный глянцевый</v>
      </c>
      <c r="C2679" s="5" t="s">
        <v>32</v>
      </c>
      <c r="D2679" s="6">
        <v>49260</v>
      </c>
      <c r="E2679" s="6">
        <v>22570</v>
      </c>
      <c r="F2679" s="9">
        <v>0.54</v>
      </c>
      <c r="H2679" s="11"/>
      <c r="I2679" s="11"/>
      <c r="J2679" s="11"/>
    </row>
    <row r="2680" spans="1:10" ht="15.75" x14ac:dyDescent="0.3">
      <c r="A2680" s="12" t="str">
        <f>HYPERLINK("https://parts-sales.ru/parts/MAN/81416155076","81.41615-5076")</f>
        <v>81.41615-5076</v>
      </c>
      <c r="B2680" s="12" t="str">
        <f>HYPERLINK("https://parts-sales.ru/parts/MAN/81416155076","Ступенька правая широкая")</f>
        <v>Ступенька правая широкая</v>
      </c>
      <c r="C2680" s="3" t="s">
        <v>32</v>
      </c>
      <c r="D2680" s="4">
        <v>89418</v>
      </c>
      <c r="E2680" s="4">
        <v>19593</v>
      </c>
      <c r="F2680" s="8">
        <v>0.78</v>
      </c>
      <c r="H2680" s="11"/>
      <c r="I2680" s="11"/>
      <c r="J2680" s="11"/>
    </row>
    <row r="2681" spans="1:10" ht="15.75" x14ac:dyDescent="0.3">
      <c r="A2681" s="13" t="str">
        <f>HYPERLINK("https://parts-sales.ru/parts/MAN/81416155077","81.41615-5077")</f>
        <v>81.41615-5077</v>
      </c>
      <c r="B2681" s="13" t="str">
        <f>HYPERLINK("https://parts-sales.ru/parts/MAN/81416155077","Держатель Вращающаяся опора")</f>
        <v>Держатель Вращающаяся опора</v>
      </c>
      <c r="C2681" s="5" t="s">
        <v>32</v>
      </c>
      <c r="D2681" s="6">
        <v>49735.26</v>
      </c>
      <c r="E2681" s="6">
        <v>32554</v>
      </c>
      <c r="F2681" s="9">
        <v>0.35</v>
      </c>
      <c r="H2681" s="11"/>
      <c r="I2681" s="11"/>
      <c r="J2681" s="11"/>
    </row>
    <row r="2682" spans="1:10" ht="15.75" x14ac:dyDescent="0.3">
      <c r="A2682" s="12" t="str">
        <f>HYPERLINK("https://parts-sales.ru/parts/MAN/81416155117","81.41615-5117")</f>
        <v>81.41615-5117</v>
      </c>
      <c r="B2682" s="12" t="str">
        <f>HYPERLINK("https://parts-sales.ru/parts/MAN/81416155117","Держатель")</f>
        <v>Держатель</v>
      </c>
      <c r="C2682" s="3" t="s">
        <v>32</v>
      </c>
      <c r="D2682" s="4">
        <v>897.6</v>
      </c>
      <c r="E2682" s="4">
        <v>187</v>
      </c>
      <c r="F2682" s="8">
        <v>0.79</v>
      </c>
      <c r="H2682" s="11"/>
      <c r="I2682" s="11"/>
      <c r="J2682" s="11"/>
    </row>
    <row r="2683" spans="1:10" ht="15.75" x14ac:dyDescent="0.3">
      <c r="A2683" s="13" t="str">
        <f>HYPERLINK("https://parts-sales.ru/parts/MAN/81416155167","81.41615-5167")</f>
        <v>81.41615-5167</v>
      </c>
      <c r="B2683" s="13" t="str">
        <f>HYPERLINK("https://parts-sales.ru/parts/MAN/81416155167","Несущая балка")</f>
        <v>Несущая балка</v>
      </c>
      <c r="C2683" s="5" t="s">
        <v>32</v>
      </c>
      <c r="D2683" s="6">
        <v>11678.4</v>
      </c>
      <c r="E2683" s="6">
        <v>1962</v>
      </c>
      <c r="F2683" s="9">
        <v>0.83</v>
      </c>
      <c r="H2683" s="11"/>
      <c r="I2683" s="11"/>
      <c r="J2683" s="11"/>
    </row>
    <row r="2684" spans="1:10" ht="15.75" x14ac:dyDescent="0.3">
      <c r="A2684" s="12" t="str">
        <f>HYPERLINK("https://parts-sales.ru/parts/MAN/81416155168","81.41615-5168")</f>
        <v>81.41615-5168</v>
      </c>
      <c r="B2684" s="12" t="str">
        <f>HYPERLINK("https://parts-sales.ru/parts/MAN/81416155168","Несущая балка")</f>
        <v>Несущая балка</v>
      </c>
      <c r="C2684" s="3" t="s">
        <v>32</v>
      </c>
      <c r="D2684" s="4">
        <v>12466.8</v>
      </c>
      <c r="E2684" s="4">
        <v>3010</v>
      </c>
      <c r="F2684" s="8">
        <v>0.76</v>
      </c>
      <c r="H2684" s="11"/>
      <c r="I2684" s="11"/>
      <c r="J2684" s="11"/>
    </row>
    <row r="2685" spans="1:10" ht="15.75" x14ac:dyDescent="0.3">
      <c r="A2685" s="13" t="str">
        <f>HYPERLINK("https://parts-sales.ru/parts/MAN/81416305068","81.41630-5068")</f>
        <v>81.41630-5068</v>
      </c>
      <c r="B2685" s="13" t="str">
        <f>HYPERLINK("https://parts-sales.ru/parts/MAN/81416305068","Предохранительная сетка")</f>
        <v>Предохранительная сетка</v>
      </c>
      <c r="C2685" s="5" t="s">
        <v>32</v>
      </c>
      <c r="D2685" s="6">
        <v>12986.4</v>
      </c>
      <c r="E2685" s="6">
        <v>1093</v>
      </c>
      <c r="F2685" s="9">
        <v>0.92</v>
      </c>
      <c r="H2685" s="11"/>
      <c r="I2685" s="11"/>
      <c r="J2685" s="11"/>
    </row>
    <row r="2686" spans="1:10" ht="15.75" x14ac:dyDescent="0.3">
      <c r="A2686" s="12" t="str">
        <f>HYPERLINK("https://parts-sales.ru/parts/MAN/81416305069","81.41630-5069")</f>
        <v>81.41630-5069</v>
      </c>
      <c r="B2686" s="12" t="str">
        <f>HYPERLINK("https://parts-sales.ru/parts/MAN/81416305069","Предохранительная сетка")</f>
        <v>Предохранительная сетка</v>
      </c>
      <c r="C2686" s="3" t="s">
        <v>32</v>
      </c>
      <c r="D2686" s="4">
        <v>12986.4</v>
      </c>
      <c r="E2686" s="4">
        <v>1097</v>
      </c>
      <c r="F2686" s="8">
        <v>0.92</v>
      </c>
      <c r="H2686" s="11"/>
      <c r="I2686" s="11"/>
      <c r="J2686" s="11"/>
    </row>
    <row r="2687" spans="1:10" ht="15.75" x14ac:dyDescent="0.3">
      <c r="A2687" s="13" t="str">
        <f>HYPERLINK("https://parts-sales.ru/parts/MAN/81416505013","81.41650-5013")</f>
        <v>81.41650-5013</v>
      </c>
      <c r="B2687" s="13" t="str">
        <f>HYPERLINK("https://parts-sales.ru/parts/MAN/81416505013","Защит.противоподъезд. брус")</f>
        <v>Защит.противоподъезд. брус</v>
      </c>
      <c r="C2687" s="5" t="s">
        <v>32</v>
      </c>
      <c r="D2687" s="6">
        <v>80635.259999999995</v>
      </c>
      <c r="E2687" s="6">
        <v>52780</v>
      </c>
      <c r="F2687" s="9">
        <v>0.35</v>
      </c>
      <c r="H2687" s="11"/>
      <c r="I2687" s="11"/>
      <c r="J2687" s="11"/>
    </row>
    <row r="2688" spans="1:10" ht="15.75" x14ac:dyDescent="0.3">
      <c r="A2688" s="12" t="str">
        <f>HYPERLINK("https://parts-sales.ru/parts/MAN/81416600173","81.41660-0173")</f>
        <v>81.41660-0173</v>
      </c>
      <c r="B2688" s="12" t="str">
        <f>HYPERLINK("https://parts-sales.ru/parts/MAN/81416600173","Прокладка 1,2 MM")</f>
        <v>Прокладка 1,2 MM</v>
      </c>
      <c r="C2688" s="3" t="s">
        <v>32</v>
      </c>
      <c r="D2688" s="4">
        <v>1826.4</v>
      </c>
      <c r="E2688" s="4">
        <v>32</v>
      </c>
      <c r="F2688" s="8">
        <v>0.98</v>
      </c>
      <c r="H2688" s="11"/>
      <c r="I2688" s="11"/>
      <c r="J2688" s="11"/>
    </row>
    <row r="2689" spans="1:10" ht="15.75" x14ac:dyDescent="0.3">
      <c r="A2689" s="13" t="str">
        <f>HYPERLINK("https://parts-sales.ru/parts/MAN/81416605234","81.41660-5234")</f>
        <v>81.41660-5234</v>
      </c>
      <c r="B2689" s="13" t="str">
        <f>HYPERLINK("https://parts-sales.ru/parts/MAN/81416605234","Защит.противоподъезд. брус")</f>
        <v>Защит.противоподъезд. брус</v>
      </c>
      <c r="C2689" s="5" t="s">
        <v>32</v>
      </c>
      <c r="D2689" s="6">
        <v>31072.799999999999</v>
      </c>
      <c r="E2689" s="6">
        <v>4049</v>
      </c>
      <c r="F2689" s="9">
        <v>0.87</v>
      </c>
      <c r="H2689" s="11"/>
      <c r="I2689" s="11"/>
      <c r="J2689" s="11"/>
    </row>
    <row r="2690" spans="1:10" ht="15.75" x14ac:dyDescent="0.3">
      <c r="A2690" s="12" t="str">
        <f>HYPERLINK("https://parts-sales.ru/parts/MAN/81416605261","81.41660-5261")</f>
        <v>81.41660-5261</v>
      </c>
      <c r="B2690" s="12" t="str">
        <f>HYPERLINK("https://parts-sales.ru/parts/MAN/81416605261","Защит.противоподъезд. брус Задняя часть")</f>
        <v>Защит.противоподъезд. брус Задняя часть</v>
      </c>
      <c r="C2690" s="3" t="s">
        <v>32</v>
      </c>
      <c r="D2690" s="4">
        <v>21205.200000000001</v>
      </c>
      <c r="E2690" s="4">
        <v>7897</v>
      </c>
      <c r="F2690" s="8">
        <v>0.63</v>
      </c>
      <c r="H2690" s="11"/>
      <c r="I2690" s="11"/>
      <c r="J2690" s="11"/>
    </row>
    <row r="2691" spans="1:10" ht="15.75" x14ac:dyDescent="0.3">
      <c r="A2691" s="13" t="str">
        <f>HYPERLINK("https://parts-sales.ru/parts/MAN/81416730108","81.41673-0108")</f>
        <v>81.41673-0108</v>
      </c>
      <c r="B2691" s="13" t="str">
        <f>HYPERLINK("https://parts-sales.ru/parts/MAN/81416730108","Держатель")</f>
        <v>Держатель</v>
      </c>
      <c r="C2691" s="5" t="s">
        <v>32</v>
      </c>
      <c r="D2691" s="6">
        <v>53737.2</v>
      </c>
      <c r="E2691" s="6">
        <v>9533</v>
      </c>
      <c r="F2691" s="9">
        <v>0.82</v>
      </c>
      <c r="H2691" s="11"/>
      <c r="I2691" s="11"/>
      <c r="J2691" s="11"/>
    </row>
    <row r="2692" spans="1:10" ht="15.75" x14ac:dyDescent="0.3">
      <c r="A2692" s="12" t="str">
        <f>HYPERLINK("https://parts-sales.ru/parts/MAN/81416800040","81.41680-0040")</f>
        <v>81.41680-0040</v>
      </c>
      <c r="B2692" s="12" t="str">
        <f>HYPERLINK("https://parts-sales.ru/parts/MAN/81416800040","Боковая обшивка")</f>
        <v>Боковая обшивка</v>
      </c>
      <c r="C2692" s="3" t="s">
        <v>32</v>
      </c>
      <c r="D2692" s="4">
        <v>142179.84</v>
      </c>
      <c r="E2692" s="4">
        <v>44297</v>
      </c>
      <c r="F2692" s="8">
        <v>0.69</v>
      </c>
      <c r="H2692" s="11"/>
      <c r="I2692" s="11"/>
      <c r="J2692" s="11"/>
    </row>
    <row r="2693" spans="1:10" ht="15.75" x14ac:dyDescent="0.3">
      <c r="A2693" s="13" t="str">
        <f>HYPERLINK("https://parts-sales.ru/parts/MAN/81416850041","81.41685-0041")</f>
        <v>81.41685-0041</v>
      </c>
      <c r="B2693" s="13" t="str">
        <f>HYPERLINK("https://parts-sales.ru/parts/MAN/81416850041","Кожух")</f>
        <v>Кожух</v>
      </c>
      <c r="C2693" s="5" t="s">
        <v>32</v>
      </c>
      <c r="D2693" s="6">
        <v>1426.8</v>
      </c>
      <c r="E2693" s="6">
        <v>473</v>
      </c>
      <c r="F2693" s="9">
        <v>0.67</v>
      </c>
      <c r="H2693" s="11"/>
      <c r="I2693" s="11"/>
      <c r="J2693" s="11"/>
    </row>
    <row r="2694" spans="1:10" ht="15.75" x14ac:dyDescent="0.3">
      <c r="A2694" s="12" t="str">
        <f>HYPERLINK("https://parts-sales.ru/parts/MAN/81416850063","81.41685-0063")</f>
        <v>81.41685-0063</v>
      </c>
      <c r="B2694" s="12" t="str">
        <f>HYPERLINK("https://parts-sales.ru/parts/MAN/81416850063","Кожух буксировочная серьга")</f>
        <v>Кожух буксировочная серьга</v>
      </c>
      <c r="C2694" s="3" t="s">
        <v>32</v>
      </c>
      <c r="D2694" s="4">
        <v>1237.2</v>
      </c>
      <c r="E2694" s="4">
        <v>462</v>
      </c>
      <c r="F2694" s="8">
        <v>0.63</v>
      </c>
      <c r="H2694" s="11"/>
      <c r="I2694" s="11"/>
      <c r="J2694" s="11"/>
    </row>
    <row r="2695" spans="1:10" ht="15.75" x14ac:dyDescent="0.3">
      <c r="A2695" s="13" t="str">
        <f>HYPERLINK("https://parts-sales.ru/parts/MAN/81416850132","81.41685-0132")</f>
        <v>81.41685-0132</v>
      </c>
      <c r="B2695" s="13" t="str">
        <f>HYPERLINK("https://parts-sales.ru/parts/MAN/81416850132","Кожух Шарнир")</f>
        <v>Кожух Шарнир</v>
      </c>
      <c r="C2695" s="5" t="s">
        <v>32</v>
      </c>
      <c r="D2695" s="6">
        <v>1420.8</v>
      </c>
      <c r="E2695" s="6">
        <v>795</v>
      </c>
      <c r="F2695" s="9">
        <v>0.44</v>
      </c>
      <c r="H2695" s="11"/>
      <c r="I2695" s="11"/>
      <c r="J2695" s="11"/>
    </row>
    <row r="2696" spans="1:10" ht="15.75" x14ac:dyDescent="0.3">
      <c r="A2696" s="12" t="str">
        <f>HYPERLINK("https://parts-sales.ru/parts/MAN/81416850143","81.41685-0143")</f>
        <v>81.41685-0143</v>
      </c>
      <c r="B2696" s="12" t="str">
        <f>HYPERLINK("https://parts-sales.ru/parts/MAN/81416850143","Заслонка")</f>
        <v>Заслонка</v>
      </c>
      <c r="C2696" s="3" t="s">
        <v>32</v>
      </c>
      <c r="D2696" s="4">
        <v>2918.4</v>
      </c>
      <c r="E2696" s="4">
        <v>1010</v>
      </c>
      <c r="F2696" s="8">
        <v>0.65</v>
      </c>
      <c r="H2696" s="11"/>
      <c r="I2696" s="11"/>
      <c r="J2696" s="11"/>
    </row>
    <row r="2697" spans="1:10" ht="15.75" x14ac:dyDescent="0.3">
      <c r="A2697" s="13" t="str">
        <f>HYPERLINK("https://parts-sales.ru/parts/MAN/81417015441","81.41701-5441")</f>
        <v>81.41701-5441</v>
      </c>
      <c r="B2697" s="13" t="str">
        <f>HYPERLINK("https://parts-sales.ru/parts/MAN/81417015441","Консоль")</f>
        <v>Консоль</v>
      </c>
      <c r="C2697" s="5" t="s">
        <v>32</v>
      </c>
      <c r="D2697" s="6">
        <v>10620</v>
      </c>
      <c r="E2697" s="6">
        <v>2605</v>
      </c>
      <c r="F2697" s="9">
        <v>0.75</v>
      </c>
      <c r="H2697" s="11"/>
      <c r="I2697" s="11"/>
      <c r="J2697" s="11"/>
    </row>
    <row r="2698" spans="1:10" ht="15.75" x14ac:dyDescent="0.3">
      <c r="A2698" s="12" t="str">
        <f>HYPERLINK("https://parts-sales.ru/parts/MAN/81417100079","81.41710-0079")</f>
        <v>81.41710-0079</v>
      </c>
      <c r="B2698" s="12" t="str">
        <f>HYPERLINK("https://parts-sales.ru/parts/MAN/81417100079","Крепежный угол")</f>
        <v>Крепежный угол</v>
      </c>
      <c r="C2698" s="3" t="s">
        <v>32</v>
      </c>
      <c r="D2698" s="4">
        <v>738.95</v>
      </c>
      <c r="E2698" s="4">
        <v>338</v>
      </c>
      <c r="F2698" s="8">
        <v>0.54</v>
      </c>
      <c r="H2698" s="11"/>
      <c r="I2698" s="11"/>
      <c r="J2698" s="11"/>
    </row>
    <row r="2699" spans="1:10" ht="15.75" x14ac:dyDescent="0.3">
      <c r="A2699" s="13" t="str">
        <f>HYPERLINK("https://parts-sales.ru/parts/MAN/81417100080","81.41710-0080")</f>
        <v>81.41710-0080</v>
      </c>
      <c r="B2699" s="13" t="str">
        <f>HYPERLINK("https://parts-sales.ru/parts/MAN/81417100080","Крепежный угол")</f>
        <v>Крепежный угол</v>
      </c>
      <c r="C2699" s="5" t="s">
        <v>32</v>
      </c>
      <c r="D2699" s="6">
        <v>624</v>
      </c>
      <c r="E2699" s="6">
        <v>189</v>
      </c>
      <c r="F2699" s="9">
        <v>0.7</v>
      </c>
      <c r="H2699" s="11"/>
      <c r="I2699" s="11"/>
      <c r="J2699" s="11"/>
    </row>
    <row r="2700" spans="1:10" ht="15.75" x14ac:dyDescent="0.3">
      <c r="A2700" s="12" t="str">
        <f>HYPERLINK("https://parts-sales.ru/parts/MAN/81417200139","81.41720-0139")</f>
        <v>81.41720-0139</v>
      </c>
      <c r="B2700" s="12" t="str">
        <f>HYPERLINK("https://parts-sales.ru/parts/MAN/81417200139","Накладка")</f>
        <v>Накладка</v>
      </c>
      <c r="C2700" s="3" t="s">
        <v>32</v>
      </c>
      <c r="D2700" s="4">
        <v>656.4</v>
      </c>
      <c r="E2700" s="4">
        <v>283</v>
      </c>
      <c r="F2700" s="8">
        <v>0.56999999999999995</v>
      </c>
      <c r="H2700" s="11"/>
      <c r="I2700" s="11"/>
      <c r="J2700" s="11"/>
    </row>
    <row r="2701" spans="1:10" ht="15.75" x14ac:dyDescent="0.3">
      <c r="A2701" s="13" t="str">
        <f>HYPERLINK("https://parts-sales.ru/parts/MAN/81417200153","81.41720-0153")</f>
        <v>81.41720-0153</v>
      </c>
      <c r="B2701" s="13" t="str">
        <f>HYPERLINK("https://parts-sales.ru/parts/MAN/81417200153","Консоль")</f>
        <v>Консоль</v>
      </c>
      <c r="C2701" s="5" t="s">
        <v>32</v>
      </c>
      <c r="D2701" s="6">
        <v>2541.6</v>
      </c>
      <c r="E2701" s="6">
        <v>326</v>
      </c>
      <c r="F2701" s="9">
        <v>0.87</v>
      </c>
      <c r="H2701" s="11"/>
      <c r="I2701" s="11"/>
      <c r="J2701" s="11"/>
    </row>
    <row r="2702" spans="1:10" ht="15.75" x14ac:dyDescent="0.3">
      <c r="A2702" s="12" t="str">
        <f>HYPERLINK("https://parts-sales.ru/parts/MAN/81417200154","81.41720-0154")</f>
        <v>81.41720-0154</v>
      </c>
      <c r="B2702" s="12" t="str">
        <f>HYPERLINK("https://parts-sales.ru/parts/MAN/81417200154","Консоль")</f>
        <v>Консоль</v>
      </c>
      <c r="C2702" s="3" t="s">
        <v>32</v>
      </c>
      <c r="D2702" s="4">
        <v>2541.6</v>
      </c>
      <c r="E2702" s="4">
        <v>168</v>
      </c>
      <c r="F2702" s="8">
        <v>0.93</v>
      </c>
      <c r="H2702" s="11"/>
      <c r="I2702" s="11"/>
      <c r="J2702" s="11"/>
    </row>
    <row r="2703" spans="1:10" ht="15.75" x14ac:dyDescent="0.3">
      <c r="A2703" s="13" t="str">
        <f>HYPERLINK("https://parts-sales.ru/parts/MAN/81417202784","81.41720-2784")</f>
        <v>81.41720-2784</v>
      </c>
      <c r="B2703" s="13" t="str">
        <f>HYPERLINK("https://parts-sales.ru/parts/MAN/81417202784","Подкладка")</f>
        <v>Подкладка</v>
      </c>
      <c r="C2703" s="5" t="s">
        <v>32</v>
      </c>
      <c r="D2703" s="6">
        <v>535.20000000000005</v>
      </c>
      <c r="E2703" s="6">
        <v>11</v>
      </c>
      <c r="F2703" s="9">
        <v>0.98</v>
      </c>
      <c r="H2703" s="11"/>
      <c r="I2703" s="11"/>
      <c r="J2703" s="11"/>
    </row>
    <row r="2704" spans="1:10" ht="15.75" x14ac:dyDescent="0.3">
      <c r="A2704" s="12" t="str">
        <f>HYPERLINK("https://parts-sales.ru/parts/MAN/81417226085","81.41722-6085")</f>
        <v>81.41722-6085</v>
      </c>
      <c r="B2704" s="12" t="str">
        <f>HYPERLINK("https://parts-sales.ru/parts/MAN/81417226085","Амортизатор кабины передний")</f>
        <v>Амортизатор кабины передний</v>
      </c>
      <c r="C2704" s="3" t="s">
        <v>32</v>
      </c>
      <c r="D2704" s="4">
        <v>45350.400000000001</v>
      </c>
      <c r="E2704" s="4">
        <v>15256</v>
      </c>
      <c r="F2704" s="8">
        <v>0.66</v>
      </c>
      <c r="H2704" s="11"/>
      <c r="I2704" s="11"/>
      <c r="J2704" s="11"/>
    </row>
    <row r="2705" spans="1:10" ht="15.75" x14ac:dyDescent="0.3">
      <c r="A2705" s="13" t="str">
        <f>HYPERLINK("https://parts-sales.ru/parts/MAN/81417230064","81.41723-0064")</f>
        <v>81.41723-0064</v>
      </c>
      <c r="B2705" s="13" t="str">
        <f>HYPERLINK("https://parts-sales.ru/parts/MAN/81417230064","Шайба")</f>
        <v>Шайба</v>
      </c>
      <c r="C2705" s="5" t="s">
        <v>32</v>
      </c>
      <c r="D2705" s="6">
        <v>2708.4</v>
      </c>
      <c r="E2705" s="6">
        <v>1118</v>
      </c>
      <c r="F2705" s="9">
        <v>0.59</v>
      </c>
      <c r="H2705" s="11"/>
      <c r="I2705" s="11"/>
      <c r="J2705" s="11"/>
    </row>
    <row r="2706" spans="1:10" ht="15.75" x14ac:dyDescent="0.3">
      <c r="A2706" s="12" t="str">
        <f>HYPERLINK("https://parts-sales.ru/parts/MAN/81418200184","81.41820-0184")</f>
        <v>81.41820-0184</v>
      </c>
      <c r="B2706" s="12" t="str">
        <f>HYPERLINK("https://parts-sales.ru/parts/MAN/81418200184","Прокладка")</f>
        <v>Прокладка</v>
      </c>
      <c r="C2706" s="3" t="s">
        <v>32</v>
      </c>
      <c r="D2706" s="4">
        <v>1609.2</v>
      </c>
      <c r="E2706" s="4">
        <v>118</v>
      </c>
      <c r="F2706" s="8">
        <v>0.93</v>
      </c>
      <c r="H2706" s="11"/>
      <c r="I2706" s="11"/>
      <c r="J2706" s="11"/>
    </row>
    <row r="2707" spans="1:10" ht="15.75" x14ac:dyDescent="0.3">
      <c r="A2707" s="13" t="str">
        <f>HYPERLINK("https://parts-sales.ru/parts/MAN/81418200191","81.41820-0191")</f>
        <v>81.41820-0191</v>
      </c>
      <c r="B2707" s="13" t="str">
        <f>HYPERLINK("https://parts-sales.ru/parts/MAN/81418200191","Подкладочная плата")</f>
        <v>Подкладочная плата</v>
      </c>
      <c r="C2707" s="5" t="s">
        <v>32</v>
      </c>
      <c r="D2707" s="6">
        <v>4640.3999999999996</v>
      </c>
      <c r="E2707" s="6">
        <v>136</v>
      </c>
      <c r="F2707" s="9">
        <v>0.97</v>
      </c>
      <c r="H2707" s="11"/>
      <c r="I2707" s="11"/>
      <c r="J2707" s="11"/>
    </row>
    <row r="2708" spans="1:10" ht="15.75" x14ac:dyDescent="0.3">
      <c r="A2708" s="12" t="str">
        <f>HYPERLINK("https://parts-sales.ru/parts/MAN/81418200209","81.41820-0209")</f>
        <v>81.41820-0209</v>
      </c>
      <c r="B2708" s="12" t="str">
        <f>HYPERLINK("https://parts-sales.ru/parts/MAN/81418200209","Распорка")</f>
        <v>Распорка</v>
      </c>
      <c r="C2708" s="3" t="s">
        <v>32</v>
      </c>
      <c r="D2708" s="4">
        <v>31401.599999999999</v>
      </c>
      <c r="E2708" s="4">
        <v>5371</v>
      </c>
      <c r="F2708" s="8">
        <v>0.83</v>
      </c>
      <c r="H2708" s="11"/>
      <c r="I2708" s="11"/>
      <c r="J2708" s="11"/>
    </row>
    <row r="2709" spans="1:10" ht="15.75" x14ac:dyDescent="0.3">
      <c r="A2709" s="13" t="str">
        <f>HYPERLINK("https://parts-sales.ru/parts/MAN/81418200216","81.41820-0216")</f>
        <v>81.41820-0216</v>
      </c>
      <c r="B2709" s="13" t="str">
        <f>HYPERLINK("https://parts-sales.ru/parts/MAN/81418200216","Распорка")</f>
        <v>Распорка</v>
      </c>
      <c r="C2709" s="5" t="s">
        <v>32</v>
      </c>
      <c r="D2709" s="6">
        <v>19225.2</v>
      </c>
      <c r="E2709" s="6">
        <v>2118</v>
      </c>
      <c r="F2709" s="9">
        <v>0.89</v>
      </c>
      <c r="H2709" s="11"/>
      <c r="I2709" s="11"/>
      <c r="J2709" s="11"/>
    </row>
    <row r="2710" spans="1:10" ht="15.75" x14ac:dyDescent="0.3">
      <c r="A2710" s="12" t="str">
        <f>HYPERLINK("https://parts-sales.ru/parts/MAN/81418200218","81.41820-0218")</f>
        <v>81.41820-0218</v>
      </c>
      <c r="B2710" s="12" t="str">
        <f>HYPERLINK("https://parts-sales.ru/parts/MAN/81418200218","Распорка")</f>
        <v>Распорка</v>
      </c>
      <c r="C2710" s="3" t="s">
        <v>32</v>
      </c>
      <c r="D2710" s="4">
        <v>36643.199999999997</v>
      </c>
      <c r="E2710" s="4">
        <v>8923</v>
      </c>
      <c r="F2710" s="8">
        <v>0.76</v>
      </c>
      <c r="H2710" s="11"/>
      <c r="I2710" s="11"/>
      <c r="J2710" s="11"/>
    </row>
    <row r="2711" spans="1:10" ht="15.75" x14ac:dyDescent="0.3">
      <c r="A2711" s="13" t="str">
        <f>HYPERLINK("https://parts-sales.ru/parts/MAN/81418200253","81.41820-0253")</f>
        <v>81.41820-0253</v>
      </c>
      <c r="B2711" s="13" t="str">
        <f>HYPERLINK("https://parts-sales.ru/parts/MAN/81418200253","Распорка")</f>
        <v>Распорка</v>
      </c>
      <c r="C2711" s="5" t="s">
        <v>32</v>
      </c>
      <c r="D2711" s="6">
        <v>2029.2</v>
      </c>
      <c r="E2711" s="6">
        <v>228</v>
      </c>
      <c r="F2711" s="9">
        <v>0.89</v>
      </c>
      <c r="H2711" s="11"/>
      <c r="I2711" s="11"/>
      <c r="J2711" s="11"/>
    </row>
    <row r="2712" spans="1:10" ht="15.75" x14ac:dyDescent="0.3">
      <c r="A2712" s="12" t="str">
        <f>HYPERLINK("https://parts-sales.ru/parts/MAN/81418510065","81.41851-0065")</f>
        <v>81.41851-0065</v>
      </c>
      <c r="B2712" s="12" t="str">
        <f>HYPERLINK("https://parts-sales.ru/parts/MAN/81418510065","Предохранительный лист")</f>
        <v>Предохранительный лист</v>
      </c>
      <c r="C2712" s="3" t="s">
        <v>32</v>
      </c>
      <c r="D2712" s="4">
        <v>13822.8</v>
      </c>
      <c r="E2712" s="4">
        <v>1161</v>
      </c>
      <c r="F2712" s="8">
        <v>0.92</v>
      </c>
      <c r="H2712" s="11"/>
      <c r="I2712" s="11"/>
      <c r="J2712" s="11"/>
    </row>
    <row r="2713" spans="1:10" ht="15.75" x14ac:dyDescent="0.3">
      <c r="A2713" s="13" t="str">
        <f>HYPERLINK("https://parts-sales.ru/parts/MAN/81418600141","81.41860-0141")</f>
        <v>81.41860-0141</v>
      </c>
      <c r="B2713" s="13" t="str">
        <f>HYPERLINK("https://parts-sales.ru/parts/MAN/81418600141","Стопорный хомутик")</f>
        <v>Стопорный хомутик</v>
      </c>
      <c r="C2713" s="5" t="s">
        <v>32</v>
      </c>
      <c r="D2713" s="6">
        <v>6778.8</v>
      </c>
      <c r="E2713" s="6">
        <v>171</v>
      </c>
      <c r="F2713" s="9">
        <v>0.97</v>
      </c>
      <c r="H2713" s="11"/>
      <c r="I2713" s="11"/>
      <c r="J2713" s="11"/>
    </row>
    <row r="2714" spans="1:10" ht="15.75" x14ac:dyDescent="0.3">
      <c r="A2714" s="12" t="str">
        <f>HYPERLINK("https://parts-sales.ru/parts/MAN/81418600155","81.41860-0155")</f>
        <v>81.41860-0155</v>
      </c>
      <c r="B2714" s="12" t="str">
        <f>HYPERLINK("https://parts-sales.ru/parts/MAN/81418600155","Распорка")</f>
        <v>Распорка</v>
      </c>
      <c r="C2714" s="3" t="s">
        <v>32</v>
      </c>
      <c r="D2714" s="4">
        <v>6940.8</v>
      </c>
      <c r="E2714" s="4">
        <v>405</v>
      </c>
      <c r="F2714" s="8">
        <v>0.94</v>
      </c>
      <c r="H2714" s="11"/>
      <c r="I2714" s="11"/>
      <c r="J2714" s="11"/>
    </row>
    <row r="2715" spans="1:10" ht="15.75" x14ac:dyDescent="0.3">
      <c r="A2715" s="13" t="str">
        <f>HYPERLINK("https://parts-sales.ru/parts/MAN/81418600211","81.41860-0211")</f>
        <v>81.41860-0211</v>
      </c>
      <c r="B2715" s="13" t="str">
        <f>HYPERLINK("https://parts-sales.ru/parts/MAN/81418600211","Прокладка")</f>
        <v>Прокладка</v>
      </c>
      <c r="C2715" s="5" t="s">
        <v>32</v>
      </c>
      <c r="D2715" s="6">
        <v>5463.6</v>
      </c>
      <c r="E2715" s="6">
        <v>1334</v>
      </c>
      <c r="F2715" s="9">
        <v>0.76</v>
      </c>
      <c r="H2715" s="11"/>
      <c r="I2715" s="11"/>
      <c r="J2715" s="11"/>
    </row>
    <row r="2716" spans="1:10" ht="15.75" x14ac:dyDescent="0.3">
      <c r="A2716" s="12" t="str">
        <f>HYPERLINK("https://parts-sales.ru/parts/MAN/81418600272","81.41860-0272")</f>
        <v>81.41860-0272</v>
      </c>
      <c r="B2716" s="12" t="str">
        <f>HYPERLINK("https://parts-sales.ru/parts/MAN/81418600272","Стопорный хомутик")</f>
        <v>Стопорный хомутик</v>
      </c>
      <c r="C2716" s="3" t="s">
        <v>32</v>
      </c>
      <c r="D2716" s="4">
        <v>11256</v>
      </c>
      <c r="E2716" s="4">
        <v>341</v>
      </c>
      <c r="F2716" s="8">
        <v>0.97</v>
      </c>
      <c r="H2716" s="11"/>
      <c r="I2716" s="11"/>
      <c r="J2716" s="11"/>
    </row>
    <row r="2717" spans="1:10" ht="15.75" x14ac:dyDescent="0.3">
      <c r="A2717" s="13" t="str">
        <f>HYPERLINK("https://parts-sales.ru/parts/MAN/81418600273","81.41860-0273")</f>
        <v>81.41860-0273</v>
      </c>
      <c r="B2717" s="13" t="str">
        <f>HYPERLINK("https://parts-sales.ru/parts/MAN/81418600273","Стопорный хомутик")</f>
        <v>Стопорный хомутик</v>
      </c>
      <c r="C2717" s="5" t="s">
        <v>32</v>
      </c>
      <c r="D2717" s="6">
        <v>11256</v>
      </c>
      <c r="E2717" s="6">
        <v>3608</v>
      </c>
      <c r="F2717" s="9">
        <v>0.68</v>
      </c>
      <c r="H2717" s="11"/>
      <c r="I2717" s="11"/>
      <c r="J2717" s="11"/>
    </row>
    <row r="2718" spans="1:10" ht="15.75" x14ac:dyDescent="0.3">
      <c r="A2718" s="12" t="str">
        <f>HYPERLINK("https://parts-sales.ru/parts/MAN/81418605352","81.41860-5352")</f>
        <v>81.41860-5352</v>
      </c>
      <c r="B2718" s="12" t="str">
        <f>HYPERLINK("https://parts-sales.ru/parts/MAN/81418605352","Несущая балка")</f>
        <v>Несущая балка</v>
      </c>
      <c r="C2718" s="3" t="s">
        <v>32</v>
      </c>
      <c r="D2718" s="4">
        <v>129399.47</v>
      </c>
      <c r="E2718" s="4">
        <v>37945</v>
      </c>
      <c r="F2718" s="8">
        <v>0.71</v>
      </c>
      <c r="H2718" s="11"/>
      <c r="I2718" s="11"/>
      <c r="J2718" s="11"/>
    </row>
    <row r="2719" spans="1:10" ht="15.75" x14ac:dyDescent="0.3">
      <c r="A2719" s="13" t="str">
        <f>HYPERLINK("https://parts-sales.ru/parts/MAN/81420046001","81.42004-6001")</f>
        <v>81.42004-6001</v>
      </c>
      <c r="B2719" s="13" t="str">
        <f>HYPERLINK("https://parts-sales.ru/parts/MAN/81420046001","Вставной болт")</f>
        <v>Вставной болт</v>
      </c>
      <c r="C2719" s="5" t="s">
        <v>33</v>
      </c>
      <c r="D2719" s="6">
        <v>17292</v>
      </c>
      <c r="E2719" s="6">
        <v>3782</v>
      </c>
      <c r="F2719" s="9">
        <v>0.78</v>
      </c>
      <c r="H2719" s="11"/>
      <c r="I2719" s="11"/>
      <c r="J2719" s="11"/>
    </row>
    <row r="2720" spans="1:10" ht="15.75" x14ac:dyDescent="0.3">
      <c r="A2720" s="12" t="str">
        <f>HYPERLINK("https://parts-sales.ru/parts/MAN/81420156020","81.42015-6020")</f>
        <v>81.42015-6020</v>
      </c>
      <c r="B2720" s="12" t="str">
        <f>HYPERLINK("https://parts-sales.ru/parts/MAN/81420156020","Буксировочное сцепление RINGFEDER 6451")</f>
        <v>Буксировочное сцепление RINGFEDER 6451</v>
      </c>
      <c r="C2720" s="3" t="s">
        <v>33</v>
      </c>
      <c r="D2720" s="4">
        <v>4127.41</v>
      </c>
      <c r="E2720" s="4">
        <v>2749</v>
      </c>
      <c r="F2720" s="8">
        <v>0.33</v>
      </c>
      <c r="H2720" s="11"/>
      <c r="I2720" s="11"/>
      <c r="J2720" s="11"/>
    </row>
    <row r="2721" spans="1:10" ht="15.75" x14ac:dyDescent="0.3">
      <c r="A2721" s="13" t="str">
        <f>HYPERLINK("https://parts-sales.ru/parts/MAN/81420220029","81.42022-0029")</f>
        <v>81.42022-0029</v>
      </c>
      <c r="B2721" s="13" t="str">
        <f>HYPERLINK("https://parts-sales.ru/parts/MAN/81420220029","Плата усиления")</f>
        <v>Плата усиления</v>
      </c>
      <c r="C2721" s="5" t="s">
        <v>33</v>
      </c>
      <c r="D2721" s="6">
        <v>11844</v>
      </c>
      <c r="E2721" s="6">
        <v>2394</v>
      </c>
      <c r="F2721" s="9">
        <v>0.8</v>
      </c>
      <c r="H2721" s="11"/>
      <c r="I2721" s="11"/>
      <c r="J2721" s="11"/>
    </row>
    <row r="2722" spans="1:10" ht="15.75" x14ac:dyDescent="0.3">
      <c r="A2722" s="12" t="str">
        <f>HYPERLINK("https://parts-sales.ru/parts/MAN/81420220030","81.42022-0030")</f>
        <v>81.42022-0030</v>
      </c>
      <c r="B2722" s="12" t="str">
        <f>HYPERLINK("https://parts-sales.ru/parts/MAN/81420220030","Плата усиления")</f>
        <v>Плата усиления</v>
      </c>
      <c r="C2722" s="3" t="s">
        <v>33</v>
      </c>
      <c r="D2722" s="4">
        <v>15177.6</v>
      </c>
      <c r="E2722" s="4">
        <v>3074</v>
      </c>
      <c r="F2722" s="8">
        <v>0.8</v>
      </c>
      <c r="H2722" s="11"/>
      <c r="I2722" s="11"/>
      <c r="J2722" s="11"/>
    </row>
    <row r="2723" spans="1:10" ht="15.75" x14ac:dyDescent="0.3">
      <c r="A2723" s="13" t="str">
        <f>HYPERLINK("https://parts-sales.ru/parts/MAN/81423600013","81.42360-0013")</f>
        <v>81.42360-0013</v>
      </c>
      <c r="B2723" s="13" t="str">
        <f>HYPERLINK("https://parts-sales.ru/parts/MAN/81423600013","Уплотнение")</f>
        <v>Уплотнение</v>
      </c>
      <c r="C2723" s="5" t="s">
        <v>33</v>
      </c>
      <c r="D2723" s="6">
        <v>1214.4000000000001</v>
      </c>
      <c r="E2723" s="6">
        <v>280</v>
      </c>
      <c r="F2723" s="9">
        <v>0.77</v>
      </c>
      <c r="H2723" s="11"/>
      <c r="I2723" s="11"/>
      <c r="J2723" s="11"/>
    </row>
    <row r="2724" spans="1:10" ht="15.75" x14ac:dyDescent="0.3">
      <c r="A2724" s="12" t="str">
        <f>HYPERLINK("https://parts-sales.ru/parts/MAN/81423750034","81.42375-0034")</f>
        <v>81.42375-0034</v>
      </c>
      <c r="B2724" s="12" t="str">
        <f>HYPERLINK("https://parts-sales.ru/parts/MAN/81423750034","Вкладыш подшипника")</f>
        <v>Вкладыш подшипника</v>
      </c>
      <c r="C2724" s="3" t="s">
        <v>33</v>
      </c>
      <c r="D2724" s="4">
        <v>1968</v>
      </c>
      <c r="E2724" s="4">
        <v>463</v>
      </c>
      <c r="F2724" s="8">
        <v>0.76</v>
      </c>
      <c r="H2724" s="11"/>
      <c r="I2724" s="11"/>
      <c r="J2724" s="11"/>
    </row>
    <row r="2725" spans="1:10" ht="15.75" x14ac:dyDescent="0.3">
      <c r="A2725" s="13" t="str">
        <f>HYPERLINK("https://parts-sales.ru/parts/MAN/81427106203","81.42710-6203")</f>
        <v>81.42710-6203</v>
      </c>
      <c r="B2725" s="13" t="s">
        <v>52</v>
      </c>
      <c r="C2725" s="5" t="s">
        <v>33</v>
      </c>
      <c r="D2725" s="6">
        <v>140763.6</v>
      </c>
      <c r="E2725" s="6">
        <v>18449</v>
      </c>
      <c r="F2725" s="9">
        <v>0.87</v>
      </c>
      <c r="H2725" s="11"/>
      <c r="I2725" s="11"/>
      <c r="J2725" s="11"/>
    </row>
    <row r="2726" spans="1:10" ht="15.75" x14ac:dyDescent="0.3">
      <c r="A2726" s="12" t="str">
        <f>HYPERLINK("https://parts-sales.ru/parts/MAN/81427106206","81.42710-6206")</f>
        <v>81.42710-6206</v>
      </c>
      <c r="B2726" s="12" t="s">
        <v>53</v>
      </c>
      <c r="C2726" s="3" t="s">
        <v>33</v>
      </c>
      <c r="D2726" s="4">
        <v>80647.899999999994</v>
      </c>
      <c r="E2726" s="4">
        <v>52788</v>
      </c>
      <c r="F2726" s="8">
        <v>0.35</v>
      </c>
      <c r="H2726" s="11"/>
      <c r="I2726" s="11"/>
      <c r="J2726" s="11"/>
    </row>
    <row r="2727" spans="1:10" ht="15.75" x14ac:dyDescent="0.3">
      <c r="A2727" s="13" t="str">
        <f>HYPERLINK("https://parts-sales.ru/parts/MAN/81427150047","81.42715-0047")</f>
        <v>81.42715-0047</v>
      </c>
      <c r="B2727" s="13" t="str">
        <f>HYPERLINK("https://parts-sales.ru/parts/MAN/81427150047","Полунавесная плата сцепления RAL 9011")</f>
        <v>Полунавесная плата сцепления RAL 9011</v>
      </c>
      <c r="C2727" s="5" t="s">
        <v>33</v>
      </c>
      <c r="D2727" s="6">
        <v>63442.47</v>
      </c>
      <c r="E2727" s="6">
        <v>26545</v>
      </c>
      <c r="F2727" s="9">
        <v>0.57999999999999996</v>
      </c>
      <c r="H2727" s="11"/>
      <c r="I2727" s="11"/>
      <c r="J2727" s="11"/>
    </row>
    <row r="2728" spans="1:10" ht="15.75" x14ac:dyDescent="0.3">
      <c r="A2728" s="12" t="str">
        <f>HYPERLINK("https://parts-sales.ru/parts/MAN/81427500003","81.42750-0003")</f>
        <v>81.42750-0003</v>
      </c>
      <c r="B2728" s="12" t="s">
        <v>54</v>
      </c>
      <c r="C2728" s="3" t="s">
        <v>33</v>
      </c>
      <c r="D2728" s="4">
        <v>33367.9</v>
      </c>
      <c r="E2728" s="4">
        <v>15289</v>
      </c>
      <c r="F2728" s="8">
        <v>0.54</v>
      </c>
      <c r="H2728" s="11"/>
      <c r="I2728" s="11"/>
      <c r="J2728" s="11"/>
    </row>
    <row r="2729" spans="1:10" ht="15.75" x14ac:dyDescent="0.3">
      <c r="A2729" s="13" t="str">
        <f>HYPERLINK("https://parts-sales.ru/parts/MAN/81429020282","81.42902-0282")</f>
        <v>81.42902-0282</v>
      </c>
      <c r="B2729" s="13" t="str">
        <f>HYPERLINK("https://parts-sales.ru/parts/MAN/81429020282","Держатель")</f>
        <v>Держатель</v>
      </c>
      <c r="C2729" s="5" t="s">
        <v>33</v>
      </c>
      <c r="D2729" s="6">
        <v>4994.3999999999996</v>
      </c>
      <c r="E2729" s="6">
        <v>925</v>
      </c>
      <c r="F2729" s="9">
        <v>0.81</v>
      </c>
      <c r="H2729" s="11"/>
      <c r="I2729" s="11"/>
      <c r="J2729" s="11"/>
    </row>
    <row r="2730" spans="1:10" ht="15.75" x14ac:dyDescent="0.3">
      <c r="A2730" s="12" t="str">
        <f>HYPERLINK("https://parts-sales.ru/parts/MAN/81429020290","81.42902-0290")</f>
        <v>81.42902-0290</v>
      </c>
      <c r="B2730" s="12" t="str">
        <f>HYPERLINK("https://parts-sales.ru/parts/MAN/81429020290","Накладка")</f>
        <v>Накладка</v>
      </c>
      <c r="C2730" s="3" t="s">
        <v>33</v>
      </c>
      <c r="D2730" s="4">
        <v>9693.6</v>
      </c>
      <c r="E2730" s="4">
        <v>1967</v>
      </c>
      <c r="F2730" s="8">
        <v>0.8</v>
      </c>
      <c r="H2730" s="11"/>
      <c r="I2730" s="11"/>
      <c r="J2730" s="11"/>
    </row>
    <row r="2731" spans="1:10" ht="15.75" x14ac:dyDescent="0.3">
      <c r="A2731" s="13" t="str">
        <f>HYPERLINK("https://parts-sales.ru/parts/MAN/81429020299","81.42902-0299")</f>
        <v>81.42902-0299</v>
      </c>
      <c r="B2731" s="13" t="str">
        <f>HYPERLINK("https://parts-sales.ru/parts/MAN/81429020299","Держатель Переходный мостик")</f>
        <v>Держатель Переходный мостик</v>
      </c>
      <c r="C2731" s="5" t="s">
        <v>33</v>
      </c>
      <c r="D2731" s="6">
        <v>2875.2</v>
      </c>
      <c r="E2731" s="6">
        <v>322</v>
      </c>
      <c r="F2731" s="9">
        <v>0.89</v>
      </c>
      <c r="H2731" s="11"/>
      <c r="I2731" s="11"/>
      <c r="J2731" s="11"/>
    </row>
    <row r="2732" spans="1:10" ht="15.75" x14ac:dyDescent="0.3">
      <c r="A2732" s="12" t="str">
        <f>HYPERLINK("https://parts-sales.ru/parts/MAN/81429020301","81.42902-0301")</f>
        <v>81.42902-0301</v>
      </c>
      <c r="B2732" s="12" t="str">
        <f>HYPERLINK("https://parts-sales.ru/parts/MAN/81429020301","Держатель Переходный мостик")</f>
        <v>Держатель Переходный мостик</v>
      </c>
      <c r="C2732" s="3" t="s">
        <v>33</v>
      </c>
      <c r="D2732" s="4">
        <v>4173.6000000000004</v>
      </c>
      <c r="E2732" s="4">
        <v>270</v>
      </c>
      <c r="F2732" s="8">
        <v>0.94</v>
      </c>
      <c r="H2732" s="11"/>
      <c r="I2732" s="11"/>
      <c r="J2732" s="11"/>
    </row>
    <row r="2733" spans="1:10" ht="15.75" x14ac:dyDescent="0.3">
      <c r="A2733" s="13" t="str">
        <f>HYPERLINK("https://parts-sales.ru/parts/MAN/81429025329","81.42902-5329")</f>
        <v>81.42902-5329</v>
      </c>
      <c r="B2733" s="13" t="str">
        <f>HYPERLINK("https://parts-sales.ru/parts/MAN/81429025329","Держатель")</f>
        <v>Держатель</v>
      </c>
      <c r="C2733" s="5" t="s">
        <v>33</v>
      </c>
      <c r="D2733" s="6">
        <v>7418.4</v>
      </c>
      <c r="E2733" s="6">
        <v>2197</v>
      </c>
      <c r="F2733" s="9">
        <v>0.7</v>
      </c>
      <c r="H2733" s="11"/>
      <c r="I2733" s="11"/>
      <c r="J2733" s="11"/>
    </row>
    <row r="2734" spans="1:10" ht="15.75" x14ac:dyDescent="0.3">
      <c r="A2734" s="12" t="str">
        <f>HYPERLINK("https://parts-sales.ru/parts/MAN/81429025389","81.42902-5389")</f>
        <v>81.42902-5389</v>
      </c>
      <c r="B2734" s="12" t="str">
        <f>HYPERLINK("https://parts-sales.ru/parts/MAN/81429025389","Несущая балка")</f>
        <v>Несущая балка</v>
      </c>
      <c r="C2734" s="3" t="s">
        <v>33</v>
      </c>
      <c r="D2734" s="4">
        <v>44614.8</v>
      </c>
      <c r="E2734" s="4">
        <v>9590</v>
      </c>
      <c r="F2734" s="8">
        <v>0.79</v>
      </c>
      <c r="H2734" s="11"/>
      <c r="I2734" s="11"/>
      <c r="J2734" s="11"/>
    </row>
    <row r="2735" spans="1:10" ht="15.75" x14ac:dyDescent="0.3">
      <c r="A2735" s="13" t="str">
        <f>HYPERLINK("https://parts-sales.ru/parts/MAN/81429400230","81.42940-0230")</f>
        <v>81.42940-0230</v>
      </c>
      <c r="B2735" s="13" t="str">
        <f>HYPERLINK("https://parts-sales.ru/parts/MAN/81429400230","Держатель")</f>
        <v>Держатель</v>
      </c>
      <c r="C2735" s="5" t="s">
        <v>33</v>
      </c>
      <c r="D2735" s="6">
        <v>3603.6</v>
      </c>
      <c r="E2735" s="6">
        <v>93</v>
      </c>
      <c r="F2735" s="9">
        <v>0.97</v>
      </c>
      <c r="H2735" s="11"/>
      <c r="I2735" s="11"/>
      <c r="J2735" s="11"/>
    </row>
    <row r="2736" spans="1:10" ht="15.75" x14ac:dyDescent="0.3">
      <c r="A2736" s="12" t="str">
        <f>HYPERLINK("https://parts-sales.ru/parts/MAN/81429400260","81.42940-0260")</f>
        <v>81.42940-0260</v>
      </c>
      <c r="B2736" s="12" t="str">
        <f>HYPERLINK("https://parts-sales.ru/parts/MAN/81429400260","Держатель")</f>
        <v>Держатель</v>
      </c>
      <c r="C2736" s="3" t="s">
        <v>33</v>
      </c>
      <c r="D2736" s="4">
        <v>1483.2</v>
      </c>
      <c r="E2736" s="4">
        <v>69</v>
      </c>
      <c r="F2736" s="8">
        <v>0.95</v>
      </c>
      <c r="H2736" s="11"/>
      <c r="I2736" s="11"/>
      <c r="J2736" s="11"/>
    </row>
    <row r="2737" spans="1:10" ht="15.75" x14ac:dyDescent="0.3">
      <c r="A2737" s="13" t="str">
        <f>HYPERLINK("https://parts-sales.ru/parts/MAN/81429400302","81.42940-0302")</f>
        <v>81.42940-0302</v>
      </c>
      <c r="B2737" s="13" t="str">
        <f>HYPERLINK("https://parts-sales.ru/parts/MAN/81429400302","Держатель")</f>
        <v>Держатель</v>
      </c>
      <c r="C2737" s="5" t="s">
        <v>33</v>
      </c>
      <c r="D2737" s="6">
        <v>4312.8</v>
      </c>
      <c r="E2737" s="6">
        <v>1481</v>
      </c>
      <c r="F2737" s="9">
        <v>0.66</v>
      </c>
      <c r="H2737" s="11"/>
      <c r="I2737" s="11"/>
      <c r="J2737" s="11"/>
    </row>
    <row r="2738" spans="1:10" ht="15.75" x14ac:dyDescent="0.3">
      <c r="A2738" s="12" t="str">
        <f>HYPERLINK("https://parts-sales.ru/parts/MAN/81429400334","81.42940-0334")</f>
        <v>81.42940-0334</v>
      </c>
      <c r="B2738" s="12" t="str">
        <f>HYPERLINK("https://parts-sales.ru/parts/MAN/81429400334","Держатель")</f>
        <v>Держатель</v>
      </c>
      <c r="C2738" s="3" t="s">
        <v>33</v>
      </c>
      <c r="D2738" s="4">
        <v>1483.2</v>
      </c>
      <c r="E2738" s="4">
        <v>354</v>
      </c>
      <c r="F2738" s="8">
        <v>0.76</v>
      </c>
      <c r="H2738" s="11"/>
      <c r="I2738" s="11"/>
      <c r="J2738" s="11"/>
    </row>
    <row r="2739" spans="1:10" ht="15.75" x14ac:dyDescent="0.3">
      <c r="A2739" s="13" t="str">
        <f>HYPERLINK("https://parts-sales.ru/parts/MAN/81429400358","81.42940-0358")</f>
        <v>81.42940-0358</v>
      </c>
      <c r="B2739" s="13" t="str">
        <f>HYPERLINK("https://parts-sales.ru/parts/MAN/81429400358","Держатель")</f>
        <v>Держатель</v>
      </c>
      <c r="C2739" s="5" t="s">
        <v>33</v>
      </c>
      <c r="D2739" s="6">
        <v>7310.4</v>
      </c>
      <c r="E2739" s="6">
        <v>80</v>
      </c>
      <c r="F2739" s="9">
        <v>0.99</v>
      </c>
      <c r="H2739" s="11"/>
      <c r="I2739" s="11"/>
      <c r="J2739" s="11"/>
    </row>
    <row r="2740" spans="1:10" ht="15.75" x14ac:dyDescent="0.3">
      <c r="A2740" s="12" t="str">
        <f>HYPERLINK("https://parts-sales.ru/parts/MAN/81429500068","81.42950-0068")</f>
        <v>81.42950-0068</v>
      </c>
      <c r="B2740" s="12" t="str">
        <f>HYPERLINK("https://parts-sales.ru/parts/MAN/81429500068","Катафот 57-PMMA-RT")</f>
        <v>Катафот 57-PMMA-RT</v>
      </c>
      <c r="C2740" s="3" t="s">
        <v>33</v>
      </c>
      <c r="D2740" s="4">
        <v>771.6</v>
      </c>
      <c r="E2740" s="4">
        <v>116</v>
      </c>
      <c r="F2740" s="8">
        <v>0.85</v>
      </c>
      <c r="H2740" s="11"/>
      <c r="I2740" s="11"/>
      <c r="J2740" s="11"/>
    </row>
    <row r="2741" spans="1:10" ht="15.75" x14ac:dyDescent="0.3">
      <c r="A2741" s="13" t="str">
        <f>HYPERLINK("https://parts-sales.ru/parts/MAN/81429500075","81.42950-0075")</f>
        <v>81.42950-0075</v>
      </c>
      <c r="B2741" s="13" t="str">
        <f>HYPERLINK("https://parts-sales.ru/parts/MAN/81429500075","Катафот самоклеящийся")</f>
        <v>Катафот самоклеящийся</v>
      </c>
      <c r="C2741" s="5" t="s">
        <v>33</v>
      </c>
      <c r="D2741" s="6">
        <v>720</v>
      </c>
      <c r="E2741" s="6">
        <v>86</v>
      </c>
      <c r="F2741" s="9">
        <v>0.88</v>
      </c>
      <c r="H2741" s="11"/>
      <c r="I2741" s="11"/>
      <c r="J2741" s="11"/>
    </row>
    <row r="2742" spans="1:10" ht="15.75" x14ac:dyDescent="0.3">
      <c r="A2742" s="12" t="str">
        <f>HYPERLINK("https://parts-sales.ru/parts/MAN/81429500076","81.42950-0076")</f>
        <v>81.42950-0076</v>
      </c>
      <c r="B2742" s="12" t="str">
        <f>HYPERLINK("https://parts-sales.ru/parts/MAN/81429500076","Катафот желтый")</f>
        <v>Катафот желтый</v>
      </c>
      <c r="C2742" s="3" t="s">
        <v>33</v>
      </c>
      <c r="D2742" s="4">
        <v>771.6</v>
      </c>
      <c r="E2742" s="4">
        <v>114</v>
      </c>
      <c r="F2742" s="8">
        <v>0.85</v>
      </c>
      <c r="H2742" s="11"/>
      <c r="I2742" s="11"/>
      <c r="J2742" s="11"/>
    </row>
    <row r="2743" spans="1:10" ht="15.75" x14ac:dyDescent="0.3">
      <c r="A2743" s="13" t="str">
        <f>HYPERLINK("https://parts-sales.ru/parts/MAN/81432206232","81.43220-6232")</f>
        <v>81.43220-6232</v>
      </c>
      <c r="B2743" s="13" t="str">
        <f>HYPERLINK("https://parts-sales.ru/parts/MAN/81432206232","Рычаг независ. подвески колеса")</f>
        <v>Рычаг независ. подвески колеса</v>
      </c>
      <c r="C2743" s="5" t="s">
        <v>34</v>
      </c>
      <c r="D2743" s="6">
        <v>64300.800000000003</v>
      </c>
      <c r="E2743" s="6">
        <v>15269</v>
      </c>
      <c r="F2743" s="9">
        <v>0.76</v>
      </c>
      <c r="H2743" s="11"/>
      <c r="I2743" s="11"/>
      <c r="J2743" s="11"/>
    </row>
    <row r="2744" spans="1:10" ht="15.75" x14ac:dyDescent="0.3">
      <c r="A2744" s="12" t="str">
        <f>HYPERLINK("https://parts-sales.ru/parts/MAN/81432206341","81.43220-6341")</f>
        <v>81.43220-6341</v>
      </c>
      <c r="B2744" s="12" t="str">
        <f>HYPERLINK("https://parts-sales.ru/parts/MAN/81432206341","Рычаг независ. подвески колеса")</f>
        <v>Рычаг независ. подвески колеса</v>
      </c>
      <c r="C2744" s="3" t="s">
        <v>34</v>
      </c>
      <c r="D2744" s="4">
        <v>60825.599999999999</v>
      </c>
      <c r="E2744" s="4">
        <v>15466</v>
      </c>
      <c r="F2744" s="8">
        <v>0.75</v>
      </c>
      <c r="H2744" s="11"/>
      <c r="I2744" s="11"/>
      <c r="J2744" s="11"/>
    </row>
    <row r="2745" spans="1:10" ht="15.75" x14ac:dyDescent="0.3">
      <c r="A2745" s="13" t="str">
        <f>HYPERLINK("https://parts-sales.ru/parts/MAN/81432400145","81.43240-0145")</f>
        <v>81.43240-0145</v>
      </c>
      <c r="B2745" s="13" t="str">
        <f>HYPERLINK("https://parts-sales.ru/parts/MAN/81432400145","Адаптер Треуг. рычаг независ. подвески")</f>
        <v>Адаптер Треуг. рычаг независ. подвески</v>
      </c>
      <c r="C2745" s="5" t="s">
        <v>34</v>
      </c>
      <c r="D2745" s="6">
        <v>16594.8</v>
      </c>
      <c r="E2745" s="6">
        <v>1584</v>
      </c>
      <c r="F2745" s="9">
        <v>0.9</v>
      </c>
      <c r="H2745" s="11"/>
      <c r="I2745" s="11"/>
      <c r="J2745" s="11"/>
    </row>
    <row r="2746" spans="1:10" ht="15.75" x14ac:dyDescent="0.3">
      <c r="A2746" s="12" t="str">
        <f>HYPERLINK("https://parts-sales.ru/parts/MAN/81432506009","81.43250-6009")</f>
        <v>81.43250-6009</v>
      </c>
      <c r="B2746" s="12" t="str">
        <f>HYPERLINK("https://parts-sales.ru/parts/MAN/81432506009","Рем ком напр подв моста")</f>
        <v>Рем ком напр подв моста</v>
      </c>
      <c r="C2746" s="3" t="s">
        <v>34</v>
      </c>
      <c r="D2746" s="4">
        <v>34860</v>
      </c>
      <c r="E2746" s="4">
        <v>9058</v>
      </c>
      <c r="F2746" s="8">
        <v>0.74</v>
      </c>
      <c r="H2746" s="11"/>
      <c r="I2746" s="11"/>
      <c r="J2746" s="11"/>
    </row>
    <row r="2747" spans="1:10" ht="15.75" x14ac:dyDescent="0.3">
      <c r="A2747" s="13" t="str">
        <f>HYPERLINK("https://parts-sales.ru/parts/MAN/81432506014","81.43250-6014")</f>
        <v>81.43250-6014</v>
      </c>
      <c r="B2747" s="13" t="str">
        <f>HYPERLINK("https://parts-sales.ru/parts/MAN/81432506014","Поперечный рычаг")</f>
        <v>Поперечный рычаг</v>
      </c>
      <c r="C2747" s="5" t="s">
        <v>34</v>
      </c>
      <c r="D2747" s="6">
        <v>91238.399999999994</v>
      </c>
      <c r="E2747" s="6">
        <v>34846</v>
      </c>
      <c r="F2747" s="9">
        <v>0.62</v>
      </c>
      <c r="H2747" s="11"/>
      <c r="I2747" s="11"/>
      <c r="J2747" s="11"/>
    </row>
    <row r="2748" spans="1:10" ht="15.75" x14ac:dyDescent="0.3">
      <c r="A2748" s="12" t="str">
        <f>HYPERLINK("https://parts-sales.ru/parts/MAN/81432709145","81.43270-9145")</f>
        <v>81.43270-9145</v>
      </c>
      <c r="B2748" s="12" t="str">
        <f>HYPERLINK("https://parts-sales.ru/parts/MAN/81432709145","Треуг. рычаг независ. подвески")</f>
        <v>Треуг. рычаг независ. подвески</v>
      </c>
      <c r="C2748" s="3" t="s">
        <v>34</v>
      </c>
      <c r="D2748" s="4">
        <v>83718</v>
      </c>
      <c r="E2748" s="4">
        <v>51753</v>
      </c>
      <c r="F2748" s="8">
        <v>0.38</v>
      </c>
      <c r="H2748" s="11"/>
      <c r="I2748" s="11"/>
      <c r="J2748" s="11"/>
    </row>
    <row r="2749" spans="1:10" ht="15.75" x14ac:dyDescent="0.3">
      <c r="A2749" s="13" t="str">
        <f>HYPERLINK("https://parts-sales.ru/parts/MAN/81433150010","81.43315-0010")</f>
        <v>81.43315-0010</v>
      </c>
      <c r="B2749" s="13" t="str">
        <f>HYPERLINK("https://parts-sales.ru/parts/MAN/81433150010","Шайба 15X66X4-ST52-3-M3199")</f>
        <v>Шайба 15X66X4-ST52-3-M3199</v>
      </c>
      <c r="C2749" s="5" t="s">
        <v>34</v>
      </c>
      <c r="D2749" s="6">
        <v>7389.6</v>
      </c>
      <c r="E2749" s="6">
        <v>1522</v>
      </c>
      <c r="F2749" s="9">
        <v>0.79</v>
      </c>
      <c r="H2749" s="11"/>
      <c r="I2749" s="11"/>
      <c r="J2749" s="11"/>
    </row>
    <row r="2750" spans="1:10" ht="15.75" x14ac:dyDescent="0.3">
      <c r="A2750" s="12" t="str">
        <f>HYPERLINK("https://parts-sales.ru/parts/MAN/81433156040","81.43315-6040")</f>
        <v>81.43315-6040</v>
      </c>
      <c r="B2750" s="12" t="str">
        <f>HYPERLINK("https://parts-sales.ru/parts/MAN/81433156040","Рем ком напр подв моста")</f>
        <v>Рем ком напр подв моста</v>
      </c>
      <c r="C2750" s="3" t="s">
        <v>34</v>
      </c>
      <c r="D2750" s="4">
        <v>26923.52</v>
      </c>
      <c r="E2750" s="4">
        <v>16142</v>
      </c>
      <c r="F2750" s="8">
        <v>0.4</v>
      </c>
      <c r="H2750" s="11"/>
      <c r="I2750" s="11"/>
      <c r="J2750" s="11"/>
    </row>
    <row r="2751" spans="1:10" ht="15.75" x14ac:dyDescent="0.3">
      <c r="A2751" s="13" t="str">
        <f>HYPERLINK("https://parts-sales.ru/parts/MAN/81434026375","81.43402-6375")</f>
        <v>81.43402-6375</v>
      </c>
      <c r="B2751" s="13" t="str">
        <f>HYPERLINK("https://parts-sales.ru/parts/MAN/81434026375","Параболическая рессора")</f>
        <v>Параболическая рессора</v>
      </c>
      <c r="C2751" s="5" t="s">
        <v>34</v>
      </c>
      <c r="D2751" s="6">
        <v>71794.8</v>
      </c>
      <c r="E2751" s="6">
        <v>39944</v>
      </c>
      <c r="F2751" s="9">
        <v>0.44</v>
      </c>
      <c r="H2751" s="11"/>
      <c r="I2751" s="11"/>
      <c r="J2751" s="11"/>
    </row>
    <row r="2752" spans="1:10" ht="15.75" x14ac:dyDescent="0.3">
      <c r="A2752" s="12" t="str">
        <f>HYPERLINK("https://parts-sales.ru/parts/MAN/81434026739","81.43402-6739")</f>
        <v>81.43402-6739</v>
      </c>
      <c r="B2752" s="12" t="str">
        <f>HYPERLINK("https://parts-sales.ru/parts/MAN/81434026739","Параболическая рессора HI-2X16T")</f>
        <v>Параболическая рессора HI-2X16T</v>
      </c>
      <c r="C2752" s="3" t="s">
        <v>34</v>
      </c>
      <c r="D2752" s="4">
        <v>115123.91</v>
      </c>
      <c r="E2752" s="4">
        <v>68915</v>
      </c>
      <c r="F2752" s="8">
        <v>0.4</v>
      </c>
      <c r="H2752" s="11"/>
      <c r="I2752" s="11"/>
      <c r="J2752" s="11"/>
    </row>
    <row r="2753" spans="1:10" ht="15.75" x14ac:dyDescent="0.3">
      <c r="A2753" s="13" t="str">
        <f>HYPERLINK("https://parts-sales.ru/parts/MAN/81434070163","81.43407-0163")</f>
        <v>81.43407-0163</v>
      </c>
      <c r="B2753" s="13" t="str">
        <f>HYPERLINK("https://parts-sales.ru/parts/MAN/81434070163","Пружинный вкладыш")</f>
        <v>Пружинный вкладыш</v>
      </c>
      <c r="C2753" s="5" t="s">
        <v>34</v>
      </c>
      <c r="D2753" s="6">
        <v>4693.2</v>
      </c>
      <c r="E2753" s="6">
        <v>137</v>
      </c>
      <c r="F2753" s="9">
        <v>0.97</v>
      </c>
      <c r="H2753" s="11"/>
      <c r="I2753" s="11"/>
      <c r="J2753" s="11"/>
    </row>
    <row r="2754" spans="1:10" ht="15.75" x14ac:dyDescent="0.3">
      <c r="A2754" s="12" t="str">
        <f>HYPERLINK("https://parts-sales.ru/parts/MAN/81434940828","81.43494-0828")</f>
        <v>81.43494-0828</v>
      </c>
      <c r="B2754" s="12" t="str">
        <f>HYPERLINK("https://parts-sales.ru/parts/MAN/81434940828","Лист рессоры 100X18X1520-18,5")</f>
        <v>Лист рессоры 100X18X1520-18,5</v>
      </c>
      <c r="C2754" s="3" t="s">
        <v>34</v>
      </c>
      <c r="D2754" s="4">
        <v>40395.599999999999</v>
      </c>
      <c r="E2754" s="4">
        <v>17480</v>
      </c>
      <c r="F2754" s="8">
        <v>0.56999999999999995</v>
      </c>
      <c r="H2754" s="11"/>
      <c r="I2754" s="11"/>
      <c r="J2754" s="11"/>
    </row>
    <row r="2755" spans="1:10" ht="15.75" x14ac:dyDescent="0.3">
      <c r="A2755" s="13" t="str">
        <f>HYPERLINK("https://parts-sales.ru/parts/MAN/81434940855","81.43494-0855")</f>
        <v>81.43494-0855</v>
      </c>
      <c r="B2755" s="13" t="str">
        <f>HYPERLINK("https://parts-sales.ru/parts/MAN/81434940855","Лист рессоры 100X18X1650-18,5")</f>
        <v>Лист рессоры 100X18X1650-18,5</v>
      </c>
      <c r="C2755" s="5" t="s">
        <v>34</v>
      </c>
      <c r="D2755" s="6">
        <v>39873.019999999997</v>
      </c>
      <c r="E2755" s="6">
        <v>13255</v>
      </c>
      <c r="F2755" s="9">
        <v>0.67</v>
      </c>
      <c r="H2755" s="11"/>
      <c r="I2755" s="11"/>
      <c r="J2755" s="11"/>
    </row>
    <row r="2756" spans="1:10" ht="15.75" x14ac:dyDescent="0.3">
      <c r="A2756" s="12" t="str">
        <f>HYPERLINK("https://parts-sales.ru/parts/MAN/81434940856","81.43494-0856")</f>
        <v>81.43494-0856</v>
      </c>
      <c r="B2756" s="12" t="str">
        <f>HYPERLINK("https://parts-sales.ru/parts/MAN/81434940856","Лист рессоры 100X18X1650-18,5")</f>
        <v>Лист рессоры 100X18X1650-18,5</v>
      </c>
      <c r="C2756" s="3" t="s">
        <v>34</v>
      </c>
      <c r="D2756" s="4">
        <v>57329.71</v>
      </c>
      <c r="E2756" s="4">
        <v>26754</v>
      </c>
      <c r="F2756" s="8">
        <v>0.53</v>
      </c>
      <c r="H2756" s="11"/>
      <c r="I2756" s="11"/>
      <c r="J2756" s="11"/>
    </row>
    <row r="2757" spans="1:10" ht="15.75" x14ac:dyDescent="0.3">
      <c r="A2757" s="13" t="str">
        <f>HYPERLINK("https://parts-sales.ru/parts/MAN/81434940868","81.43494-0868")</f>
        <v>81.43494-0868</v>
      </c>
      <c r="B2757" s="13" t="str">
        <f>HYPERLINK("https://parts-sales.ru/parts/MAN/81434940868","Лист рессоры 100X18X1250-18,5")</f>
        <v>Лист рессоры 100X18X1250-18,5</v>
      </c>
      <c r="C2757" s="5" t="s">
        <v>34</v>
      </c>
      <c r="D2757" s="6">
        <v>40068</v>
      </c>
      <c r="E2757" s="6">
        <v>17338</v>
      </c>
      <c r="F2757" s="9">
        <v>0.56999999999999995</v>
      </c>
      <c r="H2757" s="11"/>
      <c r="I2757" s="11"/>
      <c r="J2757" s="11"/>
    </row>
    <row r="2758" spans="1:10" ht="15.75" x14ac:dyDescent="0.3">
      <c r="A2758" s="12" t="str">
        <f>HYPERLINK("https://parts-sales.ru/parts/MAN/81436006071","81.43600-6071")</f>
        <v>81.43600-6071</v>
      </c>
      <c r="B2758" s="12" t="str">
        <f>HYPERLINK("https://parts-sales.ru/parts/MAN/81436006071","Система пневм.подрессоривания")</f>
        <v>Система пневм.подрессоривания</v>
      </c>
      <c r="C2758" s="3" t="s">
        <v>34</v>
      </c>
      <c r="D2758" s="4">
        <v>59385.599999999999</v>
      </c>
      <c r="E2758" s="4">
        <v>20795</v>
      </c>
      <c r="F2758" s="8">
        <v>0.65</v>
      </c>
      <c r="H2758" s="11"/>
      <c r="I2758" s="11"/>
      <c r="J2758" s="11"/>
    </row>
    <row r="2759" spans="1:10" ht="15.75" x14ac:dyDescent="0.3">
      <c r="A2759" s="13" t="str">
        <f>HYPERLINK("https://parts-sales.ru/parts/MAN/81436006072","81.43600-6072")</f>
        <v>81.43600-6072</v>
      </c>
      <c r="B2759" s="13" t="str">
        <f>HYPERLINK("https://parts-sales.ru/parts/MAN/81436006072","Система пневм.подрессоривания")</f>
        <v>Система пневм.подрессоривания</v>
      </c>
      <c r="C2759" s="5" t="s">
        <v>34</v>
      </c>
      <c r="D2759" s="6">
        <v>60465.599999999999</v>
      </c>
      <c r="E2759" s="6">
        <v>22020</v>
      </c>
      <c r="F2759" s="9">
        <v>0.64</v>
      </c>
      <c r="H2759" s="11"/>
      <c r="I2759" s="11"/>
      <c r="J2759" s="11"/>
    </row>
    <row r="2760" spans="1:10" ht="15.75" x14ac:dyDescent="0.3">
      <c r="A2760" s="12" t="str">
        <f>HYPERLINK("https://parts-sales.ru/parts/MAN/81436006075","81.43600-6075")</f>
        <v>81.43600-6075</v>
      </c>
      <c r="B2760" s="12" t="str">
        <f>HYPERLINK("https://parts-sales.ru/parts/MAN/81436006075","Система пневм.подрессоривания")</f>
        <v>Система пневм.подрессоривания</v>
      </c>
      <c r="C2760" s="3" t="s">
        <v>34</v>
      </c>
      <c r="D2760" s="4">
        <v>38904</v>
      </c>
      <c r="E2760" s="4">
        <v>23653</v>
      </c>
      <c r="F2760" s="8">
        <v>0.39</v>
      </c>
      <c r="H2760" s="11"/>
      <c r="I2760" s="11"/>
      <c r="J2760" s="11"/>
    </row>
    <row r="2761" spans="1:10" ht="15.75" x14ac:dyDescent="0.3">
      <c r="A2761" s="13" t="str">
        <f>HYPERLINK("https://parts-sales.ru/parts/MAN/81436006076","81.43600-6076")</f>
        <v>81.43600-6076</v>
      </c>
      <c r="B2761" s="13" t="str">
        <f>HYPERLINK("https://parts-sales.ru/parts/MAN/81436006076","Система пневм.подрессоривания")</f>
        <v>Система пневм.подрессоривания</v>
      </c>
      <c r="C2761" s="5" t="s">
        <v>34</v>
      </c>
      <c r="D2761" s="6">
        <v>26765.83</v>
      </c>
      <c r="E2761" s="6">
        <v>17808</v>
      </c>
      <c r="F2761" s="9">
        <v>0.33</v>
      </c>
      <c r="H2761" s="11"/>
      <c r="I2761" s="11"/>
      <c r="J2761" s="11"/>
    </row>
    <row r="2762" spans="1:10" ht="15.75" x14ac:dyDescent="0.3">
      <c r="A2762" s="12" t="str">
        <f>HYPERLINK("https://parts-sales.ru/parts/MAN/81436010173","81.43601-0173")</f>
        <v>81.43601-0173</v>
      </c>
      <c r="B2762" s="12" t="str">
        <f>HYPERLINK("https://parts-sales.ru/parts/MAN/81436010173","Баллон пневматической подвески 4884 N1 P")</f>
        <v>Баллон пневматической подвески 4884 N1 P</v>
      </c>
      <c r="C2762" s="3" t="s">
        <v>34</v>
      </c>
      <c r="D2762" s="4">
        <v>18606</v>
      </c>
      <c r="E2762" s="4">
        <v>11501</v>
      </c>
      <c r="F2762" s="8">
        <v>0.38</v>
      </c>
      <c r="H2762" s="11"/>
      <c r="I2762" s="11"/>
      <c r="J2762" s="11"/>
    </row>
    <row r="2763" spans="1:10" ht="15.75" x14ac:dyDescent="0.3">
      <c r="A2763" s="13" t="str">
        <f>HYPERLINK("https://parts-sales.ru/parts/MAN/81436010181","81.43601-0181")</f>
        <v>81.43601-0181</v>
      </c>
      <c r="B2763" s="13" t="str">
        <f>HYPERLINK("https://parts-sales.ru/parts/MAN/81436010181","Баллон пневматической подвески 4882 N3 P")</f>
        <v>Баллон пневматической подвески 4882 N3 P</v>
      </c>
      <c r="C2763" s="5" t="s">
        <v>34</v>
      </c>
      <c r="D2763" s="6">
        <v>37038</v>
      </c>
      <c r="E2763" s="6">
        <v>8295</v>
      </c>
      <c r="F2763" s="9">
        <v>0.78</v>
      </c>
      <c r="H2763" s="11"/>
      <c r="I2763" s="11"/>
      <c r="J2763" s="11"/>
    </row>
    <row r="2764" spans="1:10" ht="15.75" x14ac:dyDescent="0.3">
      <c r="A2764" s="12" t="str">
        <f>HYPERLINK("https://parts-sales.ru/parts/MAN/81436010184","81.43601-0184")</f>
        <v>81.43601-0184</v>
      </c>
      <c r="B2764" s="12" t="str">
        <f>HYPERLINK("https://parts-sales.ru/parts/MAN/81436010184","Баллон пневматической подвески 4916 N3 P")</f>
        <v>Баллон пневматической подвески 4916 N3 P</v>
      </c>
      <c r="C2764" s="3" t="s">
        <v>34</v>
      </c>
      <c r="D2764" s="4">
        <v>33076.15</v>
      </c>
      <c r="E2764" s="4">
        <v>22051</v>
      </c>
      <c r="F2764" s="8">
        <v>0.33</v>
      </c>
      <c r="H2764" s="11"/>
      <c r="I2764" s="11"/>
      <c r="J2764" s="11"/>
    </row>
    <row r="2765" spans="1:10" ht="15.75" x14ac:dyDescent="0.3">
      <c r="A2765" s="13" t="str">
        <f>HYPERLINK("https://parts-sales.ru/parts/MAN/81436106125","81.43610-6125")</f>
        <v>81.43610-6125</v>
      </c>
      <c r="B2765" s="13" t="str">
        <f>HYPERLINK("https://parts-sales.ru/parts/MAN/81436106125","Клапан пневморессоры")</f>
        <v>Клапан пневморессоры</v>
      </c>
      <c r="C2765" s="5" t="s">
        <v>34</v>
      </c>
      <c r="D2765" s="6">
        <v>51676.06</v>
      </c>
      <c r="E2765" s="6">
        <v>24116</v>
      </c>
      <c r="F2765" s="9">
        <v>0.53</v>
      </c>
      <c r="H2765" s="11"/>
      <c r="I2765" s="11"/>
      <c r="J2765" s="11"/>
    </row>
    <row r="2766" spans="1:10" ht="15.75" x14ac:dyDescent="0.3">
      <c r="A2766" s="12" t="str">
        <f>HYPERLINK("https://parts-sales.ru/parts/MAN/81436300202","81.43630-0202")</f>
        <v>81.43630-0202</v>
      </c>
      <c r="B2766" s="12" t="str">
        <f>HYPERLINK("https://parts-sales.ru/parts/MAN/81436300202","Кронштейн пневморессоры")</f>
        <v>Кронштейн пневморессоры</v>
      </c>
      <c r="C2766" s="3" t="s">
        <v>34</v>
      </c>
      <c r="D2766" s="4">
        <v>27298.799999999999</v>
      </c>
      <c r="E2766" s="4">
        <v>5062</v>
      </c>
      <c r="F2766" s="8">
        <v>0.81</v>
      </c>
      <c r="H2766" s="11"/>
      <c r="I2766" s="11"/>
      <c r="J2766" s="11"/>
    </row>
    <row r="2767" spans="1:10" ht="15.75" x14ac:dyDescent="0.3">
      <c r="A2767" s="13" t="str">
        <f>HYPERLINK("https://parts-sales.ru/parts/MAN/81436350003","81.43635-0003")</f>
        <v>81.43635-0003</v>
      </c>
      <c r="B2767" s="13" t="str">
        <f>HYPERLINK("https://parts-sales.ru/parts/MAN/81436350003","Втулка подшипника система пневм.подрессо")</f>
        <v>Втулка подшипника система пневм.подрессо</v>
      </c>
      <c r="C2767" s="5" t="s">
        <v>34</v>
      </c>
      <c r="D2767" s="6">
        <v>50452.800000000003</v>
      </c>
      <c r="E2767" s="6">
        <v>12249</v>
      </c>
      <c r="F2767" s="9">
        <v>0.76</v>
      </c>
      <c r="H2767" s="11"/>
      <c r="I2767" s="11"/>
      <c r="J2767" s="11"/>
    </row>
    <row r="2768" spans="1:10" ht="15.75" x14ac:dyDescent="0.3">
      <c r="A2768" s="12" t="str">
        <f>HYPERLINK("https://parts-sales.ru/parts/MAN/81436405231","81.43640-5231")</f>
        <v>81.43640-5231</v>
      </c>
      <c r="B2768" s="12" t="str">
        <f>HYPERLINK("https://parts-sales.ru/parts/MAN/81436405231","Кронштейн балона")</f>
        <v>Кронштейн балона</v>
      </c>
      <c r="C2768" s="3" t="s">
        <v>34</v>
      </c>
      <c r="D2768" s="4">
        <v>11474.4</v>
      </c>
      <c r="E2768" s="4">
        <v>767</v>
      </c>
      <c r="F2768" s="8">
        <v>0.93</v>
      </c>
      <c r="H2768" s="11"/>
      <c r="I2768" s="11"/>
      <c r="J2768" s="11"/>
    </row>
    <row r="2769" spans="1:10" ht="15.75" x14ac:dyDescent="0.3">
      <c r="A2769" s="13" t="str">
        <f>HYPERLINK("https://parts-sales.ru/parts/MAN/81437026008","81.43702-6008")</f>
        <v>81.43702-6008</v>
      </c>
      <c r="B2769" s="13" t="str">
        <f>HYPERLINK("https://parts-sales.ru/parts/MAN/81437026008","Амортизатор")</f>
        <v>Амортизатор</v>
      </c>
      <c r="C2769" s="5" t="s">
        <v>34</v>
      </c>
      <c r="D2769" s="6">
        <v>30089.59</v>
      </c>
      <c r="E2769" s="6">
        <v>12568</v>
      </c>
      <c r="F2769" s="9">
        <v>0.57999999999999996</v>
      </c>
      <c r="H2769" s="11"/>
      <c r="I2769" s="11"/>
      <c r="J2769" s="11"/>
    </row>
    <row r="2770" spans="1:10" ht="15.75" x14ac:dyDescent="0.3">
      <c r="A2770" s="12" t="str">
        <f>HYPERLINK("https://parts-sales.ru/parts/MAN/81437026077","81.43702-6077")</f>
        <v>81.43702-6077</v>
      </c>
      <c r="B2770" s="12" t="str">
        <f>HYPERLINK("https://parts-sales.ru/parts/MAN/81437026077","Амортизатор")</f>
        <v>Амортизатор</v>
      </c>
      <c r="C2770" s="3" t="s">
        <v>34</v>
      </c>
      <c r="D2770" s="4">
        <v>32574.18</v>
      </c>
      <c r="E2770" s="4">
        <v>21761</v>
      </c>
      <c r="F2770" s="8">
        <v>0.33</v>
      </c>
      <c r="H2770" s="11"/>
      <c r="I2770" s="11"/>
      <c r="J2770" s="11"/>
    </row>
    <row r="2771" spans="1:10" ht="15.75" x14ac:dyDescent="0.3">
      <c r="A2771" s="13" t="str">
        <f>HYPERLINK("https://parts-sales.ru/parts/MAN/81437026084","81.43702-6084")</f>
        <v>81.43702-6084</v>
      </c>
      <c r="B2771" s="13" t="str">
        <f>HYPERLINK("https://parts-sales.ru/parts/MAN/81437026084","Амортизатор подвески передний")</f>
        <v>Амортизатор подвески передний</v>
      </c>
      <c r="C2771" s="5" t="s">
        <v>34</v>
      </c>
      <c r="D2771" s="6">
        <v>26281.31</v>
      </c>
      <c r="E2771" s="6">
        <v>12815</v>
      </c>
      <c r="F2771" s="9">
        <v>0.51</v>
      </c>
      <c r="H2771" s="11"/>
      <c r="I2771" s="11"/>
      <c r="J2771" s="11"/>
    </row>
    <row r="2772" spans="1:10" ht="15.75" x14ac:dyDescent="0.3">
      <c r="A2772" s="12" t="str">
        <f>HYPERLINK("https://parts-sales.ru/parts/MAN/81437026095","81.43702-6095")</f>
        <v>81.43702-6095</v>
      </c>
      <c r="B2772" s="12" t="str">
        <f>HYPERLINK("https://parts-sales.ru/parts/MAN/81437026095","Амортизатор")</f>
        <v>Амортизатор</v>
      </c>
      <c r="C2772" s="3" t="s">
        <v>34</v>
      </c>
      <c r="D2772" s="4">
        <v>57464.4</v>
      </c>
      <c r="E2772" s="4">
        <v>7915</v>
      </c>
      <c r="F2772" s="8">
        <v>0.86</v>
      </c>
      <c r="H2772" s="11"/>
      <c r="I2772" s="11"/>
      <c r="J2772" s="11"/>
    </row>
    <row r="2773" spans="1:10" ht="15.75" x14ac:dyDescent="0.3">
      <c r="A2773" s="13" t="str">
        <f>HYPERLINK("https://parts-sales.ru/parts/MAN/81437026106","81.43702-6106")</f>
        <v>81.43702-6106</v>
      </c>
      <c r="B2773" s="13" t="str">
        <f>HYPERLINK("https://parts-sales.ru/parts/MAN/81437026106","Амортизатор")</f>
        <v>Амортизатор</v>
      </c>
      <c r="C2773" s="5" t="s">
        <v>34</v>
      </c>
      <c r="D2773" s="6">
        <v>105366</v>
      </c>
      <c r="E2773" s="6">
        <v>22622</v>
      </c>
      <c r="F2773" s="9">
        <v>0.79</v>
      </c>
      <c r="H2773" s="11"/>
      <c r="I2773" s="11"/>
      <c r="J2773" s="11"/>
    </row>
    <row r="2774" spans="1:10" ht="15.75" x14ac:dyDescent="0.3">
      <c r="A2774" s="12" t="str">
        <f>HYPERLINK("https://parts-sales.ru/parts/MAN/81437026147","81.43702-6147")</f>
        <v>81.43702-6147</v>
      </c>
      <c r="B2774" s="12" t="str">
        <f>HYPERLINK("https://parts-sales.ru/parts/MAN/81437026147","Амортизатор")</f>
        <v>Амортизатор</v>
      </c>
      <c r="C2774" s="3" t="s">
        <v>34</v>
      </c>
      <c r="D2774" s="4">
        <v>31987.39</v>
      </c>
      <c r="E2774" s="4">
        <v>21276</v>
      </c>
      <c r="F2774" s="8">
        <v>0.33</v>
      </c>
      <c r="H2774" s="11"/>
      <c r="I2774" s="11"/>
      <c r="J2774" s="11"/>
    </row>
    <row r="2775" spans="1:10" ht="15.75" x14ac:dyDescent="0.3">
      <c r="A2775" s="13" t="str">
        <f>HYPERLINK("https://parts-sales.ru/parts/MAN/81437040057","81.43704-0057")</f>
        <v>81.43704-0057</v>
      </c>
      <c r="B2775" s="13" t="str">
        <f>HYPERLINK("https://parts-sales.ru/parts/MAN/81437040057","Полувтулка 44,8X60,2")</f>
        <v>Полувтулка 44,8X60,2</v>
      </c>
      <c r="C2775" s="5" t="s">
        <v>34</v>
      </c>
      <c r="D2775" s="6">
        <v>12464.4</v>
      </c>
      <c r="E2775" s="6">
        <v>4899</v>
      </c>
      <c r="F2775" s="9">
        <v>0.61</v>
      </c>
      <c r="H2775" s="11"/>
      <c r="I2775" s="11"/>
      <c r="J2775" s="11"/>
    </row>
    <row r="2776" spans="1:10" ht="15.75" x14ac:dyDescent="0.3">
      <c r="A2776" s="12" t="str">
        <f>HYPERLINK("https://parts-sales.ru/parts/MAN/81437040077","81.43704-0077")</f>
        <v>81.43704-0077</v>
      </c>
      <c r="B2776" s="12" t="str">
        <f>HYPERLINK("https://parts-sales.ru/parts/MAN/81437040077","Втулка 50 MM")</f>
        <v>Втулка 50 MM</v>
      </c>
      <c r="C2776" s="3" t="s">
        <v>34</v>
      </c>
      <c r="D2776" s="4">
        <v>11931.71</v>
      </c>
      <c r="E2776" s="4">
        <v>2507</v>
      </c>
      <c r="F2776" s="8">
        <v>0.79</v>
      </c>
      <c r="H2776" s="11"/>
      <c r="I2776" s="11"/>
      <c r="J2776" s="11"/>
    </row>
    <row r="2777" spans="1:10" ht="15.75" x14ac:dyDescent="0.3">
      <c r="A2777" s="13" t="str">
        <f>HYPERLINK("https://parts-sales.ru/parts/MAN/81437040079","81.43704-0079")</f>
        <v>81.43704-0079</v>
      </c>
      <c r="B2777" s="13" t="str">
        <f>HYPERLINK("https://parts-sales.ru/parts/MAN/81437040079","Втулка")</f>
        <v>Втулка</v>
      </c>
      <c r="C2777" s="5" t="s">
        <v>34</v>
      </c>
      <c r="D2777" s="6">
        <v>1640.94</v>
      </c>
      <c r="E2777" s="6">
        <v>681</v>
      </c>
      <c r="F2777" s="9">
        <v>0.57999999999999996</v>
      </c>
      <c r="H2777" s="11"/>
      <c r="I2777" s="11"/>
      <c r="J2777" s="11"/>
    </row>
    <row r="2778" spans="1:10" ht="15.75" x14ac:dyDescent="0.3">
      <c r="A2778" s="12" t="str">
        <f>HYPERLINK("https://parts-sales.ru/parts/MAN/81437060047","81.43706-0047")</f>
        <v>81.43706-0047</v>
      </c>
      <c r="B2778" s="12" t="str">
        <f>HYPERLINK("https://parts-sales.ru/parts/MAN/81437060047","Резина шарнира")</f>
        <v>Резина шарнира</v>
      </c>
      <c r="C2778" s="3" t="s">
        <v>34</v>
      </c>
      <c r="D2778" s="4">
        <v>12540</v>
      </c>
      <c r="E2778" s="4">
        <v>3866</v>
      </c>
      <c r="F2778" s="8">
        <v>0.69</v>
      </c>
      <c r="H2778" s="11"/>
      <c r="I2778" s="11"/>
      <c r="J2778" s="11"/>
    </row>
    <row r="2779" spans="1:10" ht="15.75" x14ac:dyDescent="0.3">
      <c r="A2779" s="13" t="str">
        <f>HYPERLINK("https://parts-sales.ru/parts/MAN/81437060049","81.43706-0049")</f>
        <v>81.43706-0049</v>
      </c>
      <c r="B2779" s="13" t="str">
        <f>HYPERLINK("https://parts-sales.ru/parts/MAN/81437060049","Резина шарнира")</f>
        <v>Резина шарнира</v>
      </c>
      <c r="C2779" s="5" t="s">
        <v>34</v>
      </c>
      <c r="D2779" s="6">
        <v>2168.4</v>
      </c>
      <c r="E2779" s="6">
        <v>624</v>
      </c>
      <c r="F2779" s="9">
        <v>0.71</v>
      </c>
      <c r="H2779" s="11"/>
      <c r="I2779" s="11"/>
      <c r="J2779" s="11"/>
    </row>
    <row r="2780" spans="1:10" ht="15.75" x14ac:dyDescent="0.3">
      <c r="A2780" s="12" t="str">
        <f>HYPERLINK("https://parts-sales.ru/parts/MAN/81437180043","81.43718-0043")</f>
        <v>81.43718-0043</v>
      </c>
      <c r="B2780" s="12" t="str">
        <f>HYPERLINK("https://parts-sales.ru/parts/MAN/81437180043","Крышка подшипника Стабилизатор")</f>
        <v>Крышка подшипника Стабилизатор</v>
      </c>
      <c r="C2780" s="3" t="s">
        <v>34</v>
      </c>
      <c r="D2780" s="4">
        <v>1311.6</v>
      </c>
      <c r="E2780" s="4">
        <v>446</v>
      </c>
      <c r="F2780" s="8">
        <v>0.66</v>
      </c>
      <c r="H2780" s="11"/>
      <c r="I2780" s="11"/>
      <c r="J2780" s="11"/>
    </row>
    <row r="2781" spans="1:10" ht="15.75" x14ac:dyDescent="0.3">
      <c r="A2781" s="13" t="str">
        <f>HYPERLINK("https://parts-sales.ru/parts/MAN/81437180044","81.43718-0044")</f>
        <v>81.43718-0044</v>
      </c>
      <c r="B2781" s="13" t="str">
        <f>HYPERLINK("https://parts-sales.ru/parts/MAN/81437180044","Крышка подшипника Стабилизатор")</f>
        <v>Крышка подшипника Стабилизатор</v>
      </c>
      <c r="C2781" s="5" t="s">
        <v>34</v>
      </c>
      <c r="D2781" s="6">
        <v>1068</v>
      </c>
      <c r="E2781" s="6">
        <v>468</v>
      </c>
      <c r="F2781" s="9">
        <v>0.56000000000000005</v>
      </c>
      <c r="H2781" s="11"/>
      <c r="I2781" s="11"/>
      <c r="J2781" s="11"/>
    </row>
    <row r="2782" spans="1:10" ht="15.75" x14ac:dyDescent="0.3">
      <c r="A2782" s="12" t="str">
        <f>HYPERLINK("https://parts-sales.ru/parts/MAN/81437185119","81.43718-5119")</f>
        <v>81.43718-5119</v>
      </c>
      <c r="B2782" s="12" t="str">
        <f>HYPERLINK("https://parts-sales.ru/parts/MAN/81437185119","Опора стабилизатора 590 MM")</f>
        <v>Опора стабилизатора 590 MM</v>
      </c>
      <c r="C2782" s="3" t="s">
        <v>34</v>
      </c>
      <c r="D2782" s="4">
        <v>29591.84</v>
      </c>
      <c r="E2782" s="4">
        <v>15794</v>
      </c>
      <c r="F2782" s="8">
        <v>0.47</v>
      </c>
      <c r="H2782" s="11"/>
      <c r="I2782" s="11"/>
      <c r="J2782" s="11"/>
    </row>
    <row r="2783" spans="1:10" ht="15.75" x14ac:dyDescent="0.3">
      <c r="A2783" s="13" t="str">
        <f>HYPERLINK("https://parts-sales.ru/parts/MAN/81437220041","81.43722-0041")</f>
        <v>81.43722-0041</v>
      </c>
      <c r="B2783" s="13" t="str">
        <f>HYPERLINK("https://parts-sales.ru/parts/MAN/81437220041","Втулка подшипника 55X80X70")</f>
        <v>Втулка подшипника 55X80X70</v>
      </c>
      <c r="C2783" s="5" t="s">
        <v>34</v>
      </c>
      <c r="D2783" s="6">
        <v>5466</v>
      </c>
      <c r="E2783" s="6">
        <v>1354</v>
      </c>
      <c r="F2783" s="9">
        <v>0.75</v>
      </c>
      <c r="H2783" s="11"/>
      <c r="I2783" s="11"/>
      <c r="J2783" s="11"/>
    </row>
    <row r="2784" spans="1:10" ht="15.75" x14ac:dyDescent="0.3">
      <c r="A2784" s="12" t="str">
        <f>HYPERLINK("https://parts-sales.ru/parts/MAN/81437220052","81.43722-0052")</f>
        <v>81.43722-0052</v>
      </c>
      <c r="B2784" s="12" t="str">
        <f>HYPERLINK("https://parts-sales.ru/parts/MAN/81437220052","Резинометаллическая втулка 36 MM")</f>
        <v>Резинометаллическая втулка 36 MM</v>
      </c>
      <c r="C2784" s="3" t="s">
        <v>34</v>
      </c>
      <c r="D2784" s="4">
        <v>9307.2000000000007</v>
      </c>
      <c r="E2784" s="4">
        <v>863</v>
      </c>
      <c r="F2784" s="8">
        <v>0.91</v>
      </c>
      <c r="H2784" s="11"/>
      <c r="I2784" s="11"/>
      <c r="J2784" s="11"/>
    </row>
    <row r="2785" spans="1:10" ht="15.75" x14ac:dyDescent="0.3">
      <c r="A2785" s="13" t="str">
        <f>HYPERLINK("https://parts-sales.ru/parts/MAN/81437220059","81.43722-0059")</f>
        <v>81.43722-0059</v>
      </c>
      <c r="B2785" s="13" t="str">
        <f>HYPERLINK("https://parts-sales.ru/parts/MAN/81437220059","Сайлентблок переднего стабилизатора")</f>
        <v>Сайлентблок переднего стабилизатора</v>
      </c>
      <c r="C2785" s="5" t="s">
        <v>34</v>
      </c>
      <c r="D2785" s="6">
        <v>8702.8700000000008</v>
      </c>
      <c r="E2785" s="6">
        <v>1847</v>
      </c>
      <c r="F2785" s="9">
        <v>0.79</v>
      </c>
      <c r="H2785" s="11"/>
      <c r="I2785" s="11"/>
      <c r="J2785" s="11"/>
    </row>
    <row r="2786" spans="1:10" ht="15.75" x14ac:dyDescent="0.3">
      <c r="A2786" s="12" t="str">
        <f>HYPERLINK("https://parts-sales.ru/parts/MAN/81437220091","81.43722-0091")</f>
        <v>81.43722-0091</v>
      </c>
      <c r="B2786" s="12" t="str">
        <f>HYPERLINK("https://parts-sales.ru/parts/MAN/81437220091","Втулка")</f>
        <v>Втулка</v>
      </c>
      <c r="C2786" s="3" t="s">
        <v>34</v>
      </c>
      <c r="D2786" s="4">
        <v>12172.8</v>
      </c>
      <c r="E2786" s="4">
        <v>3413</v>
      </c>
      <c r="F2786" s="8">
        <v>0.72</v>
      </c>
      <c r="H2786" s="11"/>
      <c r="I2786" s="11"/>
      <c r="J2786" s="11"/>
    </row>
    <row r="2787" spans="1:10" ht="15.75" x14ac:dyDescent="0.3">
      <c r="A2787" s="13" t="str">
        <f>HYPERLINK("https://parts-sales.ru/parts/MAN/81437400100","81.43740-0100")</f>
        <v>81.43740-0100</v>
      </c>
      <c r="B2787" s="13" t="str">
        <f>HYPERLINK("https://parts-sales.ru/parts/MAN/81437400100","Упорный лист")</f>
        <v>Упорный лист</v>
      </c>
      <c r="C2787" s="5" t="s">
        <v>34</v>
      </c>
      <c r="D2787" s="6">
        <v>2486.4</v>
      </c>
      <c r="E2787" s="6">
        <v>530</v>
      </c>
      <c r="F2787" s="9">
        <v>0.79</v>
      </c>
      <c r="H2787" s="11"/>
      <c r="I2787" s="11"/>
      <c r="J2787" s="11"/>
    </row>
    <row r="2788" spans="1:10" ht="15.75" x14ac:dyDescent="0.3">
      <c r="A2788" s="12" t="str">
        <f>HYPERLINK("https://parts-sales.ru/parts/MAN/81437400190","81.43740-0190")</f>
        <v>81.43740-0190</v>
      </c>
      <c r="B2788" s="12" t="str">
        <f>HYPERLINK("https://parts-sales.ru/parts/MAN/81437400190","Держатель опора стабилизатора")</f>
        <v>Держатель опора стабилизатора</v>
      </c>
      <c r="C2788" s="3" t="s">
        <v>34</v>
      </c>
      <c r="D2788" s="4">
        <v>3603.6</v>
      </c>
      <c r="E2788" s="4">
        <v>198</v>
      </c>
      <c r="F2788" s="8">
        <v>0.95</v>
      </c>
      <c r="H2788" s="11"/>
      <c r="I2788" s="11"/>
      <c r="J2788" s="11"/>
    </row>
    <row r="2789" spans="1:10" ht="15.75" x14ac:dyDescent="0.3">
      <c r="A2789" s="13" t="str">
        <f>HYPERLINK("https://parts-sales.ru/parts/MAN/81437400191","81.43740-0191")</f>
        <v>81.43740-0191</v>
      </c>
      <c r="B2789" s="13" t="str">
        <f>HYPERLINK("https://parts-sales.ru/parts/MAN/81437400191","Держатель опора стабилизатора")</f>
        <v>Держатель опора стабилизатора</v>
      </c>
      <c r="C2789" s="5" t="s">
        <v>34</v>
      </c>
      <c r="D2789" s="6">
        <v>3603.6</v>
      </c>
      <c r="E2789" s="6">
        <v>131</v>
      </c>
      <c r="F2789" s="9">
        <v>0.96</v>
      </c>
      <c r="H2789" s="11"/>
      <c r="I2789" s="11"/>
      <c r="J2789" s="11"/>
    </row>
    <row r="2790" spans="1:10" ht="15.75" x14ac:dyDescent="0.3">
      <c r="A2790" s="12" t="str">
        <f>HYPERLINK("https://parts-sales.ru/parts/MAN/81437400229","81.43740-0229")</f>
        <v>81.43740-0229</v>
      </c>
      <c r="B2790" s="12" t="str">
        <f>HYPERLINK("https://parts-sales.ru/parts/MAN/81437400229","Держатель")</f>
        <v>Держатель</v>
      </c>
      <c r="C2790" s="3" t="s">
        <v>34</v>
      </c>
      <c r="D2790" s="4">
        <v>5764.8</v>
      </c>
      <c r="E2790" s="4">
        <v>271</v>
      </c>
      <c r="F2790" s="8">
        <v>0.95</v>
      </c>
      <c r="H2790" s="11"/>
      <c r="I2790" s="11"/>
      <c r="J2790" s="11"/>
    </row>
    <row r="2791" spans="1:10" ht="15.75" x14ac:dyDescent="0.3">
      <c r="A2791" s="13" t="str">
        <f>HYPERLINK("https://parts-sales.ru/parts/MAN/81442016198","81.44201-6198")</f>
        <v>81.44201-6198</v>
      </c>
      <c r="B2791" s="13" t="str">
        <f>HYPERLINK("https://parts-sales.ru/parts/MAN/81442016198","Поворотный кулак справа")</f>
        <v>Поворотный кулак справа</v>
      </c>
      <c r="C2791" s="5" t="s">
        <v>35</v>
      </c>
      <c r="D2791" s="6">
        <v>88689.47</v>
      </c>
      <c r="E2791" s="6">
        <v>26007</v>
      </c>
      <c r="F2791" s="9">
        <v>0.71</v>
      </c>
      <c r="H2791" s="11"/>
      <c r="I2791" s="11"/>
      <c r="J2791" s="11"/>
    </row>
    <row r="2792" spans="1:10" ht="15.75" x14ac:dyDescent="0.3">
      <c r="A2792" s="12" t="str">
        <f>HYPERLINK("https://parts-sales.ru/parts/MAN/81442056025","81.44205-6025")</f>
        <v>81.44205-6025</v>
      </c>
      <c r="B2792" s="12" t="str">
        <f>HYPERLINK("https://parts-sales.ru/parts/MAN/81442056025","Рем компл повор цапфы V9-34L/V9-42L")</f>
        <v>Рем компл повор цапфы V9-34L/V9-42L</v>
      </c>
      <c r="C2792" s="3" t="s">
        <v>35</v>
      </c>
      <c r="D2792" s="4">
        <v>76797.600000000006</v>
      </c>
      <c r="E2792" s="4">
        <v>16539</v>
      </c>
      <c r="F2792" s="8">
        <v>0.78</v>
      </c>
      <c r="H2792" s="11"/>
      <c r="I2792" s="11"/>
      <c r="J2792" s="11"/>
    </row>
    <row r="2793" spans="1:10" ht="15.75" x14ac:dyDescent="0.3">
      <c r="A2793" s="13" t="str">
        <f>HYPERLINK("https://parts-sales.ru/parts/MAN/81442056049","81.44205-6049")</f>
        <v>81.44205-6049</v>
      </c>
      <c r="B2793" s="13" t="str">
        <f>HYPERLINK("https://parts-sales.ru/parts/MAN/81442056049","Рем компл повор цапфы V9-34/V9-42-98/VOK")</f>
        <v>Рем компл повор цапфы V9-34/V9-42-98/VOK</v>
      </c>
      <c r="C2793" s="5" t="s">
        <v>35</v>
      </c>
      <c r="D2793" s="6">
        <v>33892.78</v>
      </c>
      <c r="E2793" s="6">
        <v>20301</v>
      </c>
      <c r="F2793" s="9">
        <v>0.4</v>
      </c>
      <c r="H2793" s="11"/>
      <c r="I2793" s="11"/>
      <c r="J2793" s="11"/>
    </row>
    <row r="2794" spans="1:10" ht="15.75" x14ac:dyDescent="0.3">
      <c r="A2794" s="12" t="str">
        <f>HYPERLINK("https://parts-sales.ru/parts/MAN/81442080010","81.44208-0010")</f>
        <v>81.44208-0010</v>
      </c>
      <c r="B2794" s="12" t="str">
        <f>HYPERLINK("https://parts-sales.ru/parts/MAN/81442080010","Разрезная замочная шайба")</f>
        <v>Разрезная замочная шайба</v>
      </c>
      <c r="C2794" s="3" t="s">
        <v>35</v>
      </c>
      <c r="D2794" s="4">
        <v>1610.4</v>
      </c>
      <c r="E2794" s="4">
        <v>208</v>
      </c>
      <c r="F2794" s="8">
        <v>0.87</v>
      </c>
      <c r="H2794" s="11"/>
      <c r="I2794" s="11"/>
      <c r="J2794" s="11"/>
    </row>
    <row r="2795" spans="1:10" ht="15.75" x14ac:dyDescent="0.3">
      <c r="A2795" s="13" t="str">
        <f>HYPERLINK("https://parts-sales.ru/parts/MAN/81443010178","81.44301-0178")</f>
        <v>81.44301-0178</v>
      </c>
      <c r="B2795" s="13" t="str">
        <f>HYPERLINK("https://parts-sales.ru/parts/MAN/81443010178","Переднеприводной фланец VO-09")</f>
        <v>Переднеприводной фланец VO-09</v>
      </c>
      <c r="C2795" s="5" t="s">
        <v>35</v>
      </c>
      <c r="D2795" s="6">
        <v>54135.07</v>
      </c>
      <c r="E2795" s="6">
        <v>25263</v>
      </c>
      <c r="F2795" s="9">
        <v>0.53</v>
      </c>
      <c r="H2795" s="11"/>
      <c r="I2795" s="11"/>
      <c r="J2795" s="11"/>
    </row>
    <row r="2796" spans="1:10" ht="15.75" x14ac:dyDescent="0.3">
      <c r="A2796" s="12" t="str">
        <f>HYPERLINK("https://parts-sales.ru/parts/MAN/81443010206","81.44301-0206")</f>
        <v>81.44301-0206</v>
      </c>
      <c r="B2796" s="12" t="str">
        <f>HYPERLINK("https://parts-sales.ru/parts/MAN/81443010206","Переднеприводной фланец VOK-08/07 NOL-07")</f>
        <v>Переднеприводной фланец VOK-08/07 NOL-07</v>
      </c>
      <c r="C2796" s="3" t="s">
        <v>35</v>
      </c>
      <c r="D2796" s="4">
        <v>54775.22</v>
      </c>
      <c r="E2796" s="4">
        <v>25562</v>
      </c>
      <c r="F2796" s="8">
        <v>0.53</v>
      </c>
      <c r="H2796" s="11"/>
      <c r="I2796" s="11"/>
      <c r="J2796" s="11"/>
    </row>
    <row r="2797" spans="1:10" ht="15.75" x14ac:dyDescent="0.3">
      <c r="A2797" s="13" t="str">
        <f>HYPERLINK("https://parts-sales.ru/parts/MAN/81455010148","81.45501-0148")</f>
        <v>81.45501-0148</v>
      </c>
      <c r="B2797" s="13" t="str">
        <f>HYPERLINK("https://parts-sales.ru/parts/MAN/81455010148","Болт крепления колеса M20X1,5X39X77-10.9")</f>
        <v>Болт крепления колеса M20X1,5X39X77-10.9</v>
      </c>
      <c r="C2797" s="5" t="s">
        <v>36</v>
      </c>
      <c r="D2797" s="6">
        <v>842.11</v>
      </c>
      <c r="E2797" s="6">
        <v>505</v>
      </c>
      <c r="F2797" s="9">
        <v>0.4</v>
      </c>
      <c r="H2797" s="11"/>
      <c r="I2797" s="11"/>
      <c r="J2797" s="11"/>
    </row>
    <row r="2798" spans="1:10" ht="15.75" x14ac:dyDescent="0.3">
      <c r="A2798" s="12" t="str">
        <f>HYPERLINK("https://parts-sales.ru/parts/MAN/81455010181","81.45501-0181")</f>
        <v>81.45501-0181</v>
      </c>
      <c r="B2798" s="12" t="str">
        <f>HYPERLINK("https://parts-sales.ru/parts/MAN/81455010181","Болт крепления колеса")</f>
        <v>Болт крепления колеса</v>
      </c>
      <c r="C2798" s="3" t="s">
        <v>36</v>
      </c>
      <c r="D2798" s="4">
        <v>1545.6</v>
      </c>
      <c r="E2798" s="4">
        <v>379</v>
      </c>
      <c r="F2798" s="8">
        <v>0.75</v>
      </c>
      <c r="H2798" s="11"/>
      <c r="I2798" s="11"/>
      <c r="J2798" s="11"/>
    </row>
    <row r="2799" spans="1:10" ht="15.75" x14ac:dyDescent="0.3">
      <c r="A2799" s="13" t="str">
        <f>HYPERLINK("https://parts-sales.ru/parts/MAN/81455010196","81.45501-0196")</f>
        <v>81.45501-0196</v>
      </c>
      <c r="B2799" s="13" t="str">
        <f>HYPERLINK("https://parts-sales.ru/parts/MAN/81455010196","Болт крепления колеса M22X1,5X38X128-10.")</f>
        <v>Болт крепления колеса M22X1,5X38X128-10.</v>
      </c>
      <c r="C2799" s="5" t="s">
        <v>36</v>
      </c>
      <c r="D2799" s="6">
        <v>3002.4</v>
      </c>
      <c r="E2799" s="6">
        <v>604</v>
      </c>
      <c r="F2799" s="9">
        <v>0.8</v>
      </c>
      <c r="H2799" s="11"/>
      <c r="I2799" s="11"/>
      <c r="J2799" s="11"/>
    </row>
    <row r="2800" spans="1:10" ht="15.75" x14ac:dyDescent="0.3">
      <c r="A2800" s="12" t="str">
        <f>HYPERLINK("https://parts-sales.ru/parts/MAN/81455010209","81.45501-0209")</f>
        <v>81.45501-0209</v>
      </c>
      <c r="B2800" s="12" t="str">
        <f>HYPERLINK("https://parts-sales.ru/parts/MAN/81455010209","Болт крепления колеса M18X1,5X34X70-10.9")</f>
        <v>Болт крепления колеса M18X1,5X34X70-10.9</v>
      </c>
      <c r="C2800" s="3" t="s">
        <v>36</v>
      </c>
      <c r="D2800" s="4">
        <v>2157.6</v>
      </c>
      <c r="E2800" s="4">
        <v>435</v>
      </c>
      <c r="F2800" s="8">
        <v>0.8</v>
      </c>
      <c r="H2800" s="11"/>
      <c r="I2800" s="11"/>
      <c r="J2800" s="11"/>
    </row>
    <row r="2801" spans="1:10" ht="15.75" x14ac:dyDescent="0.3">
      <c r="A2801" s="13" t="str">
        <f>HYPERLINK("https://parts-sales.ru/parts/MAN/81455010213","81.45501-0213")</f>
        <v>81.45501-0213</v>
      </c>
      <c r="B2801" s="13" t="str">
        <f>HYPERLINK("https://parts-sales.ru/parts/MAN/81455010213","Болт крепл. колеса M22X1,5X38X110-10. см. 81.45501-0176")</f>
        <v>Болт крепл. колеса M22X1,5X38X110-10. см. 81.45501-0176</v>
      </c>
      <c r="C2801" s="5" t="s">
        <v>36</v>
      </c>
      <c r="D2801" s="6">
        <v>3693.13</v>
      </c>
      <c r="E2801" s="6">
        <v>831</v>
      </c>
      <c r="F2801" s="9">
        <v>0.77</v>
      </c>
      <c r="H2801" s="11"/>
      <c r="I2801" s="11"/>
      <c r="J2801" s="11"/>
    </row>
    <row r="2802" spans="1:10" ht="15.75" x14ac:dyDescent="0.3">
      <c r="A2802" s="12" t="str">
        <f>HYPERLINK("https://parts-sales.ru/parts/MAN/81455030067","81.45503-0067")</f>
        <v>81.45503-0067</v>
      </c>
      <c r="B2802" s="12" t="str">
        <f>HYPERLINK("https://parts-sales.ru/parts/MAN/81455030067","6-гран. гайка с буртиком B-M22X1,5/27-12")</f>
        <v>6-гран. гайка с буртиком B-M22X1,5/27-12</v>
      </c>
      <c r="C2802" s="3" t="s">
        <v>36</v>
      </c>
      <c r="D2802" s="4">
        <v>2431.1999999999998</v>
      </c>
      <c r="E2802" s="4">
        <v>402</v>
      </c>
      <c r="F2802" s="8">
        <v>0.83</v>
      </c>
      <c r="H2802" s="11"/>
      <c r="I2802" s="11"/>
      <c r="J2802" s="11"/>
    </row>
    <row r="2803" spans="1:10" ht="15.75" x14ac:dyDescent="0.3">
      <c r="A2803" s="13" t="str">
        <f>HYPERLINK("https://parts-sales.ru/parts/MAN/81455030070","81.45503-0070")</f>
        <v>81.45503-0070</v>
      </c>
      <c r="B2803" s="13" t="str">
        <f>HYPERLINK("https://parts-sales.ru/parts/MAN/81455030070","6-гран. гайка с буртиком A-M18X1,5X24-10")</f>
        <v>6-гран. гайка с буртиком A-M18X1,5X24-10</v>
      </c>
      <c r="C2803" s="5" t="s">
        <v>36</v>
      </c>
      <c r="D2803" s="6">
        <v>961.2</v>
      </c>
      <c r="E2803" s="6">
        <v>315</v>
      </c>
      <c r="F2803" s="9">
        <v>0.67</v>
      </c>
      <c r="H2803" s="11"/>
      <c r="I2803" s="11"/>
      <c r="J2803" s="11"/>
    </row>
    <row r="2804" spans="1:10" ht="15.75" x14ac:dyDescent="0.3">
      <c r="A2804" s="12" t="str">
        <f>HYPERLINK("https://parts-sales.ru/parts/MAN/81459056040","81.45905-6040")</f>
        <v>81.45905-6040</v>
      </c>
      <c r="B2804" s="12" t="str">
        <f>HYPERLINK("https://parts-sales.ru/parts/MAN/81459056040","Удлинитель вентиля камеры 8/8X77,5-POM-W")</f>
        <v>Удлинитель вентиля камеры 8/8X77,5-POM-W</v>
      </c>
      <c r="C2804" s="3" t="s">
        <v>36</v>
      </c>
      <c r="D2804" s="4">
        <v>583.20000000000005</v>
      </c>
      <c r="E2804" s="4">
        <v>35</v>
      </c>
      <c r="F2804" s="8">
        <v>0.94</v>
      </c>
      <c r="H2804" s="11"/>
      <c r="I2804" s="11"/>
      <c r="J2804" s="11"/>
    </row>
    <row r="2805" spans="1:10" ht="15.75" x14ac:dyDescent="0.3">
      <c r="A2805" s="13" t="str">
        <f>HYPERLINK("https://parts-sales.ru/parts/MAN/81461130139","81.46113-0139")</f>
        <v>81.46113-0139</v>
      </c>
      <c r="B2805" s="13" t="str">
        <f>HYPERLINK("https://parts-sales.ru/parts/MAN/81461130139","Пробка")</f>
        <v>Пробка</v>
      </c>
      <c r="C2805" s="5" t="s">
        <v>37</v>
      </c>
      <c r="D2805" s="6">
        <v>507.6</v>
      </c>
      <c r="E2805" s="6">
        <v>122</v>
      </c>
      <c r="F2805" s="9">
        <v>0.76</v>
      </c>
      <c r="H2805" s="11"/>
      <c r="I2805" s="11"/>
      <c r="J2805" s="11"/>
    </row>
    <row r="2806" spans="1:10" ht="15.75" x14ac:dyDescent="0.3">
      <c r="A2806" s="12" t="str">
        <f>HYPERLINK("https://parts-sales.ru/parts/MAN/81461130152","81.46113-0152")</f>
        <v>81.46113-0152</v>
      </c>
      <c r="B2806" s="12" t="str">
        <f>HYPERLINK("https://parts-sales.ru/parts/MAN/81461130152","Обшивка колонки рул. управл-я")</f>
        <v>Обшивка колонки рул. управл-я</v>
      </c>
      <c r="C2806" s="3" t="s">
        <v>37</v>
      </c>
      <c r="D2806" s="4">
        <v>1669.2</v>
      </c>
      <c r="E2806" s="4">
        <v>683</v>
      </c>
      <c r="F2806" s="8">
        <v>0.59</v>
      </c>
      <c r="H2806" s="11"/>
      <c r="I2806" s="11"/>
      <c r="J2806" s="11"/>
    </row>
    <row r="2807" spans="1:10" ht="15.75" x14ac:dyDescent="0.3">
      <c r="A2807" s="13" t="str">
        <f>HYPERLINK("https://parts-sales.ru/parts/MAN/81461136289","81.46113-6289")</f>
        <v>81.46113-6289</v>
      </c>
      <c r="B2807" s="13" t="str">
        <f>HYPERLINK("https://parts-sales.ru/parts/MAN/81461136289","Рулевая колонка без")</f>
        <v>Рулевая колонка без</v>
      </c>
      <c r="C2807" s="5" t="s">
        <v>37</v>
      </c>
      <c r="D2807" s="6">
        <v>152145.60000000001</v>
      </c>
      <c r="E2807" s="6">
        <v>31019</v>
      </c>
      <c r="F2807" s="9">
        <v>0.8</v>
      </c>
      <c r="H2807" s="11"/>
      <c r="I2807" s="11"/>
      <c r="J2807" s="11"/>
    </row>
    <row r="2808" spans="1:10" ht="15.75" x14ac:dyDescent="0.3">
      <c r="A2808" s="12" t="str">
        <f>HYPERLINK("https://parts-sales.ru/parts/MAN/81461310042","81.46131-0042")</f>
        <v>81.46131-0042</v>
      </c>
      <c r="B2808" s="12" t="str">
        <f>HYPERLINK("https://parts-sales.ru/parts/MAN/81461310042","Направляющее кольцо половина")</f>
        <v>Направляющее кольцо половина</v>
      </c>
      <c r="C2808" s="3" t="s">
        <v>37</v>
      </c>
      <c r="D2808" s="4">
        <v>3207.6</v>
      </c>
      <c r="E2808" s="4">
        <v>722</v>
      </c>
      <c r="F2808" s="8">
        <v>0.77</v>
      </c>
      <c r="H2808" s="11"/>
      <c r="I2808" s="11"/>
      <c r="J2808" s="11"/>
    </row>
    <row r="2809" spans="1:10" ht="15.75" x14ac:dyDescent="0.3">
      <c r="A2809" s="13" t="str">
        <f>HYPERLINK("https://parts-sales.ru/parts/MAN/81461456004","81.46145-6004")</f>
        <v>81.46145-6004</v>
      </c>
      <c r="B2809" s="13" t="str">
        <f>HYPERLINK("https://parts-sales.ru/parts/MAN/81461456004","Ремонтный комплект Блок управления рул.")</f>
        <v>Ремонтный комплект Блок управления рул.</v>
      </c>
      <c r="C2809" s="5" t="s">
        <v>37</v>
      </c>
      <c r="D2809" s="6">
        <v>5139.6000000000004</v>
      </c>
      <c r="E2809" s="6">
        <v>342</v>
      </c>
      <c r="F2809" s="9">
        <v>0.93</v>
      </c>
      <c r="H2809" s="11"/>
      <c r="I2809" s="11"/>
      <c r="J2809" s="11"/>
    </row>
    <row r="2810" spans="1:10" ht="15.75" x14ac:dyDescent="0.3">
      <c r="A2810" s="12" t="str">
        <f>HYPERLINK("https://parts-sales.ru/parts/MAN/81462006604","81.46200-6604")</f>
        <v>81.46200-6604</v>
      </c>
      <c r="B2810" s="12" t="str">
        <f>HYPERLINK("https://parts-sales.ru/parts/MAN/81462006604","Рулевой механизм")</f>
        <v>Рулевой механизм</v>
      </c>
      <c r="C2810" s="3" t="s">
        <v>37</v>
      </c>
      <c r="D2810" s="4">
        <v>227603.69</v>
      </c>
      <c r="E2810" s="4">
        <v>150633</v>
      </c>
      <c r="F2810" s="8">
        <v>0.34</v>
      </c>
      <c r="H2810" s="11"/>
      <c r="I2810" s="11"/>
      <c r="J2810" s="11"/>
    </row>
    <row r="2811" spans="1:10" ht="15.75" x14ac:dyDescent="0.3">
      <c r="A2811" s="13" t="str">
        <f>HYPERLINK("https://parts-sales.ru/parts/MAN/81462006673","81.46200-6673")</f>
        <v>81.46200-6673</v>
      </c>
      <c r="B2811" s="13" t="str">
        <f>HYPERLINK("https://parts-sales.ru/parts/MAN/81462006673","Комплект деталей малый")</f>
        <v>Комплект деталей малый</v>
      </c>
      <c r="C2811" s="5" t="s">
        <v>37</v>
      </c>
      <c r="D2811" s="6">
        <v>4004.4</v>
      </c>
      <c r="E2811" s="6">
        <v>679</v>
      </c>
      <c r="F2811" s="9">
        <v>0.83</v>
      </c>
      <c r="H2811" s="11"/>
      <c r="I2811" s="11"/>
      <c r="J2811" s="11"/>
    </row>
    <row r="2812" spans="1:10" ht="15.75" x14ac:dyDescent="0.3">
      <c r="A2812" s="12" t="str">
        <f>HYPERLINK("https://parts-sales.ru/parts/MAN/81466010495","81.46601-0495")</f>
        <v>81.46601-0495</v>
      </c>
      <c r="B2812" s="12" t="str">
        <f>HYPERLINK("https://parts-sales.ru/parts/MAN/81466010495","Рулевая сошка")</f>
        <v>Рулевая сошка</v>
      </c>
      <c r="C2812" s="3" t="s">
        <v>37</v>
      </c>
      <c r="D2812" s="4">
        <v>30600</v>
      </c>
      <c r="E2812" s="4">
        <v>18360</v>
      </c>
      <c r="F2812" s="8">
        <v>0.4</v>
      </c>
      <c r="H2812" s="11"/>
      <c r="I2812" s="11"/>
      <c r="J2812" s="11"/>
    </row>
    <row r="2813" spans="1:10" ht="15.75" x14ac:dyDescent="0.3">
      <c r="A2813" s="13" t="str">
        <f>HYPERLINK("https://parts-sales.ru/parts/MAN/81466010537","81.46601-0537")</f>
        <v>81.46601-0537</v>
      </c>
      <c r="B2813" s="13" t="str">
        <f>HYPERLINK("https://parts-sales.ru/parts/MAN/81466010537","Рулевая сошка")</f>
        <v>Рулевая сошка</v>
      </c>
      <c r="C2813" s="5" t="s">
        <v>37</v>
      </c>
      <c r="D2813" s="6">
        <v>33684</v>
      </c>
      <c r="E2813" s="6">
        <v>8112</v>
      </c>
      <c r="F2813" s="9">
        <v>0.76</v>
      </c>
      <c r="H2813" s="11"/>
      <c r="I2813" s="11"/>
      <c r="J2813" s="11"/>
    </row>
    <row r="2814" spans="1:10" ht="15.75" x14ac:dyDescent="0.3">
      <c r="A2814" s="12" t="str">
        <f>HYPERLINK("https://parts-sales.ru/parts/MAN/81466106820","81.46610-6820")</f>
        <v>81.46610-6820</v>
      </c>
      <c r="B2814" s="12" t="str">
        <f>HYPERLINK("https://parts-sales.ru/parts/MAN/81466106820","Продольная рулевая тяга TRW")</f>
        <v>Продольная рулевая тяга TRW</v>
      </c>
      <c r="C2814" s="3" t="s">
        <v>37</v>
      </c>
      <c r="D2814" s="4">
        <v>29337.599999999999</v>
      </c>
      <c r="E2814" s="4">
        <v>8606</v>
      </c>
      <c r="F2814" s="8">
        <v>0.71</v>
      </c>
      <c r="H2814" s="11"/>
      <c r="I2814" s="11"/>
      <c r="J2814" s="11"/>
    </row>
    <row r="2815" spans="1:10" ht="15.75" x14ac:dyDescent="0.3">
      <c r="A2815" s="13" t="str">
        <f>HYPERLINK("https://parts-sales.ru/parts/MAN/81466106832","81.46610-6832")</f>
        <v>81.46610-6832</v>
      </c>
      <c r="B2815" s="13" t="str">
        <f>HYPERLINK("https://parts-sales.ru/parts/MAN/81466106832","Продольная рулевая тяга")</f>
        <v>Продольная рулевая тяга</v>
      </c>
      <c r="C2815" s="5" t="s">
        <v>37</v>
      </c>
      <c r="D2815" s="6">
        <v>25649.96</v>
      </c>
      <c r="E2815" s="6">
        <v>15354</v>
      </c>
      <c r="F2815" s="9">
        <v>0.4</v>
      </c>
      <c r="H2815" s="11"/>
      <c r="I2815" s="11"/>
      <c r="J2815" s="11"/>
    </row>
    <row r="2816" spans="1:10" ht="15.75" x14ac:dyDescent="0.3">
      <c r="A2816" s="12" t="str">
        <f>HYPERLINK("https://parts-sales.ru/parts/MAN/81466106833","81.46610-6833")</f>
        <v>81.46610-6833</v>
      </c>
      <c r="B2816" s="12" t="str">
        <f>HYPERLINK("https://parts-sales.ru/parts/MAN/81466106833","Продольная рулевая тяга TRW")</f>
        <v>Продольная рулевая тяга TRW</v>
      </c>
      <c r="C2816" s="3" t="s">
        <v>37</v>
      </c>
      <c r="D2816" s="4">
        <v>112293.6</v>
      </c>
      <c r="E2816" s="4">
        <v>14841</v>
      </c>
      <c r="F2816" s="8">
        <v>0.87</v>
      </c>
      <c r="H2816" s="11"/>
      <c r="I2816" s="11"/>
      <c r="J2816" s="11"/>
    </row>
    <row r="2817" spans="1:10" ht="15.75" x14ac:dyDescent="0.3">
      <c r="A2817" s="13" t="str">
        <f>HYPERLINK("https://parts-sales.ru/parts/MAN/81466106840","81.46610-6840")</f>
        <v>81.46610-6840</v>
      </c>
      <c r="B2817" s="13" t="str">
        <f>HYPERLINK("https://parts-sales.ru/parts/MAN/81466106840","Продольная рулевая тяга")</f>
        <v>Продольная рулевая тяга</v>
      </c>
      <c r="C2817" s="5" t="s">
        <v>37</v>
      </c>
      <c r="D2817" s="6">
        <v>22560.77</v>
      </c>
      <c r="E2817" s="6">
        <v>13462</v>
      </c>
      <c r="F2817" s="9">
        <v>0.4</v>
      </c>
      <c r="H2817" s="11"/>
      <c r="I2817" s="11"/>
      <c r="J2817" s="11"/>
    </row>
    <row r="2818" spans="1:10" ht="15.75" x14ac:dyDescent="0.3">
      <c r="A2818" s="12" t="str">
        <f>HYPERLINK("https://parts-sales.ru/parts/MAN/81466116149","81.46611-6149")</f>
        <v>81.46611-6149</v>
      </c>
      <c r="B2818" s="12" t="str">
        <f>HYPERLINK("https://parts-sales.ru/parts/MAN/81466116149","Продольная рулевая тяга LM")</f>
        <v>Продольная рулевая тяга LM</v>
      </c>
      <c r="C2818" s="3" t="s">
        <v>37</v>
      </c>
      <c r="D2818" s="4">
        <v>49309.2</v>
      </c>
      <c r="E2818" s="4">
        <v>13274</v>
      </c>
      <c r="F2818" s="8">
        <v>0.73</v>
      </c>
      <c r="H2818" s="11"/>
      <c r="I2818" s="11"/>
      <c r="J2818" s="11"/>
    </row>
    <row r="2819" spans="1:10" ht="15.75" x14ac:dyDescent="0.3">
      <c r="A2819" s="13" t="str">
        <f>HYPERLINK("https://parts-sales.ru/parts/MAN/81467016038","81.46701-6038")</f>
        <v>81.46701-6038</v>
      </c>
      <c r="B2819" s="13" t="str">
        <f>HYPERLINK("https://parts-sales.ru/parts/MAN/81467016038","Поворотный рычаг справа")</f>
        <v>Поворотный рычаг справа</v>
      </c>
      <c r="C2819" s="5" t="s">
        <v>37</v>
      </c>
      <c r="D2819" s="6">
        <v>125932.8</v>
      </c>
      <c r="E2819" s="6">
        <v>74892</v>
      </c>
      <c r="F2819" s="9">
        <v>0.41</v>
      </c>
      <c r="H2819" s="11"/>
      <c r="I2819" s="11"/>
      <c r="J2819" s="11"/>
    </row>
    <row r="2820" spans="1:10" ht="15.75" x14ac:dyDescent="0.3">
      <c r="A2820" s="12" t="str">
        <f>HYPERLINK("https://parts-sales.ru/parts/MAN/81467035005","81.46703-5005")</f>
        <v>81.46703-5005</v>
      </c>
      <c r="B2820" s="12" t="str">
        <f>HYPERLINK("https://parts-sales.ru/parts/MAN/81467035005","Держатель")</f>
        <v>Держатель</v>
      </c>
      <c r="C2820" s="3" t="s">
        <v>37</v>
      </c>
      <c r="D2820" s="4">
        <v>14437.2</v>
      </c>
      <c r="E2820" s="4">
        <v>5717</v>
      </c>
      <c r="F2820" s="8">
        <v>0.6</v>
      </c>
      <c r="H2820" s="11"/>
      <c r="I2820" s="11"/>
      <c r="J2820" s="11"/>
    </row>
    <row r="2821" spans="1:10" ht="15.75" x14ac:dyDescent="0.3">
      <c r="A2821" s="13" t="str">
        <f>HYPERLINK("https://parts-sales.ru/parts/MAN/81467116855","81.46711-6855")</f>
        <v>81.46711-6855</v>
      </c>
      <c r="B2821" s="13" t="str">
        <f>HYPERLINK("https://parts-sales.ru/parts/MAN/81467116855","Поперечная рулевая тяга LM")</f>
        <v>Поперечная рулевая тяга LM</v>
      </c>
      <c r="C2821" s="5" t="s">
        <v>37</v>
      </c>
      <c r="D2821" s="6">
        <v>53266.8</v>
      </c>
      <c r="E2821" s="6">
        <v>8503</v>
      </c>
      <c r="F2821" s="9">
        <v>0.84</v>
      </c>
      <c r="H2821" s="11"/>
      <c r="I2821" s="11"/>
      <c r="J2821" s="11"/>
    </row>
    <row r="2822" spans="1:10" ht="15.75" x14ac:dyDescent="0.3">
      <c r="A2822" s="12" t="str">
        <f>HYPERLINK("https://parts-sales.ru/parts/MAN/81467116966","81.46711-6966")</f>
        <v>81.46711-6966</v>
      </c>
      <c r="B2822" s="12" t="str">
        <f>HYPERLINK("https://parts-sales.ru/parts/MAN/81467116966","Поперечная рулевая тяга")</f>
        <v>Поперечная рулевая тяга</v>
      </c>
      <c r="C2822" s="3" t="s">
        <v>37</v>
      </c>
      <c r="D2822" s="4">
        <v>27785.65</v>
      </c>
      <c r="E2822" s="4">
        <v>18551</v>
      </c>
      <c r="F2822" s="8">
        <v>0.33</v>
      </c>
      <c r="H2822" s="11"/>
      <c r="I2822" s="11"/>
      <c r="J2822" s="11"/>
    </row>
    <row r="2823" spans="1:10" ht="15.75" x14ac:dyDescent="0.3">
      <c r="A2823" s="13" t="str">
        <f>HYPERLINK("https://parts-sales.ru/parts/MAN/81467410018","81.46741-0018")</f>
        <v>81.46741-0018</v>
      </c>
      <c r="B2823" s="13" t="str">
        <f>HYPERLINK("https://parts-sales.ru/parts/MAN/81467410018","Держатель")</f>
        <v>Держатель</v>
      </c>
      <c r="C2823" s="5" t="s">
        <v>37</v>
      </c>
      <c r="D2823" s="6">
        <v>2875.2</v>
      </c>
      <c r="E2823" s="6">
        <v>670</v>
      </c>
      <c r="F2823" s="9">
        <v>0.77</v>
      </c>
      <c r="H2823" s="11"/>
      <c r="I2823" s="11"/>
      <c r="J2823" s="11"/>
    </row>
    <row r="2824" spans="1:10" ht="15.75" x14ac:dyDescent="0.3">
      <c r="A2824" s="12" t="str">
        <f>HYPERLINK("https://parts-sales.ru/parts/MAN/81473030108","81.47303-0108")</f>
        <v>81.47303-0108</v>
      </c>
      <c r="B2824" s="12" t="str">
        <f>HYPERLINK("https://parts-sales.ru/parts/MAN/81473030108","Всасывающая проводка")</f>
        <v>Всасывающая проводка</v>
      </c>
      <c r="C2824" s="3" t="s">
        <v>37</v>
      </c>
      <c r="D2824" s="4">
        <v>4674</v>
      </c>
      <c r="E2824" s="4">
        <v>196</v>
      </c>
      <c r="F2824" s="8">
        <v>0.96</v>
      </c>
      <c r="H2824" s="11"/>
      <c r="I2824" s="11"/>
      <c r="J2824" s="11"/>
    </row>
    <row r="2825" spans="1:10" ht="15.75" x14ac:dyDescent="0.3">
      <c r="A2825" s="13" t="str">
        <f>HYPERLINK("https://parts-sales.ru/parts/MAN/81473070009","81.47307-0009")</f>
        <v>81.47307-0009</v>
      </c>
      <c r="B2825" s="13" t="str">
        <f>HYPERLINK("https://parts-sales.ru/parts/MAN/81473070009","Элемент масляного фильтра")</f>
        <v>Элемент масляного фильтра</v>
      </c>
      <c r="C2825" s="5" t="s">
        <v>37</v>
      </c>
      <c r="D2825" s="6">
        <v>3836.4</v>
      </c>
      <c r="E2825" s="6">
        <v>1663</v>
      </c>
      <c r="F2825" s="9">
        <v>0.56999999999999995</v>
      </c>
      <c r="H2825" s="11"/>
      <c r="I2825" s="11"/>
      <c r="J2825" s="11"/>
    </row>
    <row r="2826" spans="1:10" ht="15.75" x14ac:dyDescent="0.3">
      <c r="A2826" s="12" t="str">
        <f>HYPERLINK("https://parts-sales.ru/parts/MAN/81473130014","81.47313-0014")</f>
        <v>81.47313-0014</v>
      </c>
      <c r="B2826" s="12" t="str">
        <f>HYPERLINK("https://parts-sales.ru/parts/MAN/81473130014","Всасывающая проводка 22X1,5")</f>
        <v>Всасывающая проводка 22X1,5</v>
      </c>
      <c r="C2826" s="3" t="s">
        <v>37</v>
      </c>
      <c r="D2826" s="4">
        <v>15177.6</v>
      </c>
      <c r="E2826" s="4">
        <v>4494</v>
      </c>
      <c r="F2826" s="8">
        <v>0.7</v>
      </c>
      <c r="H2826" s="11"/>
      <c r="I2826" s="11"/>
      <c r="J2826" s="11"/>
    </row>
    <row r="2827" spans="1:10" ht="15.75" x14ac:dyDescent="0.3">
      <c r="A2827" s="13" t="str">
        <f>HYPERLINK("https://parts-sales.ru/parts/MAN/81473400154","81.47340-0154")</f>
        <v>81.47340-0154</v>
      </c>
      <c r="B2827" s="13" t="str">
        <f>HYPERLINK("https://parts-sales.ru/parts/MAN/81473400154","Держатель")</f>
        <v>Держатель</v>
      </c>
      <c r="C2827" s="5" t="s">
        <v>37</v>
      </c>
      <c r="D2827" s="6">
        <v>5024.3999999999996</v>
      </c>
      <c r="E2827" s="6">
        <v>1226</v>
      </c>
      <c r="F2827" s="9">
        <v>0.76</v>
      </c>
      <c r="H2827" s="11"/>
      <c r="I2827" s="11"/>
      <c r="J2827" s="11"/>
    </row>
    <row r="2828" spans="1:10" ht="15.75" x14ac:dyDescent="0.3">
      <c r="A2828" s="12" t="str">
        <f>HYPERLINK("https://parts-sales.ru/parts/MAN/81473405156","81.47340-5156")</f>
        <v>81.47340-5156</v>
      </c>
      <c r="B2828" s="12" t="str">
        <f>HYPERLINK("https://parts-sales.ru/parts/MAN/81473405156","Держатель")</f>
        <v>Держатель</v>
      </c>
      <c r="C2828" s="3" t="s">
        <v>37</v>
      </c>
      <c r="D2828" s="4">
        <v>53899.199999999997</v>
      </c>
      <c r="E2828" s="4">
        <v>11150</v>
      </c>
      <c r="F2828" s="8">
        <v>0.79</v>
      </c>
      <c r="H2828" s="11"/>
      <c r="I2828" s="11"/>
      <c r="J2828" s="11"/>
    </row>
    <row r="2829" spans="1:10" ht="15.75" x14ac:dyDescent="0.3">
      <c r="A2829" s="13" t="str">
        <f>HYPERLINK("https://parts-sales.ru/parts/MAN/81473405214","81.47340-5214")</f>
        <v>81.47340-5214</v>
      </c>
      <c r="B2829" s="13" t="str">
        <f>HYPERLINK("https://parts-sales.ru/parts/MAN/81473405214","Держатель")</f>
        <v>Держатель</v>
      </c>
      <c r="C2829" s="5" t="s">
        <v>37</v>
      </c>
      <c r="D2829" s="6">
        <v>1462.8</v>
      </c>
      <c r="E2829" s="6">
        <v>56</v>
      </c>
      <c r="F2829" s="9">
        <v>0.96</v>
      </c>
      <c r="H2829" s="11"/>
      <c r="I2829" s="11"/>
      <c r="J2829" s="11"/>
    </row>
    <row r="2830" spans="1:10" ht="15.75" x14ac:dyDescent="0.3">
      <c r="A2830" s="12" t="str">
        <f>HYPERLINK("https://parts-sales.ru/parts/MAN/81475016048","81.47501-6048")</f>
        <v>81.47501-6048</v>
      </c>
      <c r="B2830" s="12" t="str">
        <f>HYPERLINK("https://parts-sales.ru/parts/MAN/81475016048","Уплотнительный комплект без асбеста")</f>
        <v>Уплотнительный комплект без асбеста</v>
      </c>
      <c r="C2830" s="3" t="s">
        <v>37</v>
      </c>
      <c r="D2830" s="4">
        <v>19274.400000000001</v>
      </c>
      <c r="E2830" s="4">
        <v>6062</v>
      </c>
      <c r="F2830" s="8">
        <v>0.69</v>
      </c>
      <c r="H2830" s="11"/>
      <c r="I2830" s="11"/>
      <c r="J2830" s="11"/>
    </row>
    <row r="2831" spans="1:10" ht="15.75" x14ac:dyDescent="0.3">
      <c r="A2831" s="13" t="str">
        <f>HYPERLINK("https://parts-sales.ru/parts/MAN/81475016049","81.47501-6049")</f>
        <v>81.47501-6049</v>
      </c>
      <c r="B2831" s="13" t="str">
        <f>HYPERLINK("https://parts-sales.ru/parts/MAN/81475016049","Комплект деталей малый без асбеста")</f>
        <v>Комплект деталей малый без асбеста</v>
      </c>
      <c r="C2831" s="5" t="s">
        <v>37</v>
      </c>
      <c r="D2831" s="6">
        <v>26452.799999999999</v>
      </c>
      <c r="E2831" s="6">
        <v>6519</v>
      </c>
      <c r="F2831" s="9">
        <v>0.75</v>
      </c>
      <c r="H2831" s="11"/>
      <c r="I2831" s="11"/>
      <c r="J2831" s="11"/>
    </row>
    <row r="2832" spans="1:10" ht="15.75" x14ac:dyDescent="0.3">
      <c r="A2832" s="12" t="str">
        <f>HYPERLINK("https://parts-sales.ru/parts/MAN/81475016073","81.47501-6073")</f>
        <v>81.47501-6073</v>
      </c>
      <c r="B2832" s="12" t="str">
        <f>HYPERLINK("https://parts-sales.ru/parts/MAN/81475016073","Рабочий цилиндр")</f>
        <v>Рабочий цилиндр</v>
      </c>
      <c r="C2832" s="3" t="s">
        <v>37</v>
      </c>
      <c r="D2832" s="4">
        <v>28566</v>
      </c>
      <c r="E2832" s="4">
        <v>10344</v>
      </c>
      <c r="F2832" s="8">
        <v>0.64</v>
      </c>
      <c r="H2832" s="11"/>
      <c r="I2832" s="11"/>
      <c r="J2832" s="11"/>
    </row>
    <row r="2833" spans="1:10" ht="15.75" x14ac:dyDescent="0.3">
      <c r="A2833" s="13" t="str">
        <f>HYPERLINK("https://parts-sales.ru/parts/MAN/81282106030","81.28210-6030")</f>
        <v>81.28210-6030</v>
      </c>
      <c r="B2833" s="13" t="s">
        <v>55</v>
      </c>
      <c r="C2833" s="5" t="s">
        <v>12</v>
      </c>
      <c r="D2833" s="6">
        <v>155259.6</v>
      </c>
      <c r="E2833" s="6">
        <v>35499</v>
      </c>
      <c r="F2833" s="9">
        <v>0.77</v>
      </c>
      <c r="H2833" s="11"/>
      <c r="I2833" s="11"/>
      <c r="J2833" s="11"/>
    </row>
    <row r="2834" spans="1:10" ht="15.75" x14ac:dyDescent="0.3">
      <c r="A2834" s="12" t="str">
        <f>HYPERLINK("https://parts-sales.ru/parts/MAN/81282306028","81.28230-6028")</f>
        <v>81.28230-6028</v>
      </c>
      <c r="B2834" s="12" t="str">
        <f>HYPERLINK("https://parts-sales.ru/parts/MAN/81282306028","Дистанционное радиоуправление Грузовой а")</f>
        <v>Дистанционное радиоуправление Грузовой а</v>
      </c>
      <c r="C2834" s="3" t="s">
        <v>12</v>
      </c>
      <c r="D2834" s="4">
        <v>29406</v>
      </c>
      <c r="E2834" s="4">
        <v>6865</v>
      </c>
      <c r="F2834" s="8">
        <v>0.77</v>
      </c>
      <c r="H2834" s="11"/>
      <c r="I2834" s="11"/>
      <c r="J2834" s="11"/>
    </row>
    <row r="2835" spans="1:10" ht="15.75" x14ac:dyDescent="0.3">
      <c r="A2835" s="13" t="str">
        <f>HYPERLINK("https://parts-sales.ru/parts/MAN/81282400147","81.28240-0147")</f>
        <v>81.28240-0147</v>
      </c>
      <c r="B2835" s="13" t="str">
        <f>HYPERLINK("https://parts-sales.ru/parts/MAN/81282400147","Уплотнение штатив антенны")</f>
        <v>Уплотнение штатив антенны</v>
      </c>
      <c r="C2835" s="5" t="s">
        <v>12</v>
      </c>
      <c r="D2835" s="6">
        <v>794.4</v>
      </c>
      <c r="E2835" s="6">
        <v>162</v>
      </c>
      <c r="F2835" s="9">
        <v>0.8</v>
      </c>
      <c r="H2835" s="11"/>
      <c r="I2835" s="11"/>
      <c r="J2835" s="11"/>
    </row>
    <row r="2836" spans="1:10" ht="15.75" x14ac:dyDescent="0.3">
      <c r="A2836" s="12" t="str">
        <f>HYPERLINK("https://parts-sales.ru/parts/MAN/81282400149","81.28240-0149")</f>
        <v>81.28240-0149</v>
      </c>
      <c r="B2836" s="12" t="str">
        <f>HYPERLINK("https://parts-sales.ru/parts/MAN/81282400149","Шестигранная гайка M14X0,75-9SMN28K-A3C")</f>
        <v>Шестигранная гайка M14X0,75-9SMN28K-A3C</v>
      </c>
      <c r="C2836" s="3" t="s">
        <v>12</v>
      </c>
      <c r="D2836" s="4">
        <v>483.6</v>
      </c>
      <c r="E2836" s="4">
        <v>120</v>
      </c>
      <c r="F2836" s="8">
        <v>0.75</v>
      </c>
      <c r="H2836" s="11"/>
      <c r="I2836" s="11"/>
      <c r="J2836" s="11"/>
    </row>
    <row r="2837" spans="1:10" ht="15.75" x14ac:dyDescent="0.3">
      <c r="A2837" s="13" t="str">
        <f>HYPERLINK("https://parts-sales.ru/parts/MAN/81501010109","81.50101-0109")</f>
        <v>81.50101-0109</v>
      </c>
      <c r="B2837" s="13" t="str">
        <f>HYPERLINK("https://parts-sales.ru/parts/MAN/81501010109","Предохранительный лист")</f>
        <v>Предохранительный лист</v>
      </c>
      <c r="C2837" s="5" t="s">
        <v>38</v>
      </c>
      <c r="D2837" s="6">
        <v>10887.6</v>
      </c>
      <c r="E2837" s="6">
        <v>2297</v>
      </c>
      <c r="F2837" s="9">
        <v>0.79</v>
      </c>
      <c r="H2837" s="11"/>
      <c r="I2837" s="11"/>
      <c r="J2837" s="11"/>
    </row>
    <row r="2838" spans="1:10" ht="15.75" x14ac:dyDescent="0.3">
      <c r="A2838" s="12" t="str">
        <f>HYPERLINK("https://parts-sales.ru/parts/MAN/81501010110","81.50101-0110")</f>
        <v>81.50101-0110</v>
      </c>
      <c r="B2838" s="12" t="str">
        <f>HYPERLINK("https://parts-sales.ru/parts/MAN/81501010110","Предохранительный лист")</f>
        <v>Предохранительный лист</v>
      </c>
      <c r="C2838" s="3" t="s">
        <v>38</v>
      </c>
      <c r="D2838" s="4">
        <v>10887.6</v>
      </c>
      <c r="E2838" s="4">
        <v>2291</v>
      </c>
      <c r="F2838" s="8">
        <v>0.79</v>
      </c>
      <c r="H2838" s="11"/>
      <c r="I2838" s="11"/>
      <c r="J2838" s="11"/>
    </row>
    <row r="2839" spans="1:10" ht="15.75" x14ac:dyDescent="0.3">
      <c r="A2839" s="13" t="str">
        <f>HYPERLINK("https://parts-sales.ru/parts/MAN/81501010209","81.50101-0209")</f>
        <v>81.50101-0209</v>
      </c>
      <c r="B2839" s="13" t="str">
        <f>HYPERLINK("https://parts-sales.ru/parts/MAN/81501010209","Предохранительный лист")</f>
        <v>Предохранительный лист</v>
      </c>
      <c r="C2839" s="5" t="s">
        <v>38</v>
      </c>
      <c r="D2839" s="6">
        <v>9552</v>
      </c>
      <c r="E2839" s="6">
        <v>2004</v>
      </c>
      <c r="F2839" s="9">
        <v>0.79</v>
      </c>
      <c r="H2839" s="11"/>
      <c r="I2839" s="11"/>
      <c r="J2839" s="11"/>
    </row>
    <row r="2840" spans="1:10" ht="15.75" x14ac:dyDescent="0.3">
      <c r="A2840" s="12" t="str">
        <f>HYPERLINK("https://parts-sales.ru/parts/MAN/81501015136","81.50101-5136")</f>
        <v>81.50101-5136</v>
      </c>
      <c r="B2840" s="12" t="str">
        <f>HYPERLINK("https://parts-sales.ru/parts/MAN/81501015136","Предохранительный лист с")</f>
        <v>Предохранительный лист с</v>
      </c>
      <c r="C2840" s="3" t="s">
        <v>38</v>
      </c>
      <c r="D2840" s="4">
        <v>11743.2</v>
      </c>
      <c r="E2840" s="4">
        <v>2531</v>
      </c>
      <c r="F2840" s="8">
        <v>0.78</v>
      </c>
      <c r="H2840" s="11"/>
      <c r="I2840" s="11"/>
      <c r="J2840" s="11"/>
    </row>
    <row r="2841" spans="1:10" ht="15.75" x14ac:dyDescent="0.3">
      <c r="A2841" s="13" t="str">
        <f>HYPERLINK("https://parts-sales.ru/parts/MAN/81501015137","81.50101-5137")</f>
        <v>81.50101-5137</v>
      </c>
      <c r="B2841" s="13" t="str">
        <f>HYPERLINK("https://parts-sales.ru/parts/MAN/81501015137","Предохранительный лист с")</f>
        <v>Предохранительный лист с</v>
      </c>
      <c r="C2841" s="5" t="s">
        <v>38</v>
      </c>
      <c r="D2841" s="6">
        <v>11743.2</v>
      </c>
      <c r="E2841" s="6">
        <v>2523</v>
      </c>
      <c r="F2841" s="9">
        <v>0.79</v>
      </c>
      <c r="H2841" s="11"/>
      <c r="I2841" s="11"/>
      <c r="J2841" s="11"/>
    </row>
    <row r="2842" spans="1:10" ht="15.75" x14ac:dyDescent="0.3">
      <c r="A2842" s="12" t="str">
        <f>HYPERLINK("https://parts-sales.ru/parts/MAN/81501015155","81.50101-5155")</f>
        <v>81.50101-5155</v>
      </c>
      <c r="B2842" s="12" t="str">
        <f>HYPERLINK("https://parts-sales.ru/parts/MAN/81501015155","Защитный лист")</f>
        <v>Защитный лист</v>
      </c>
      <c r="C2842" s="3" t="s">
        <v>38</v>
      </c>
      <c r="D2842" s="4">
        <v>10087.200000000001</v>
      </c>
      <c r="E2842" s="4">
        <v>2299</v>
      </c>
      <c r="F2842" s="8">
        <v>0.77</v>
      </c>
      <c r="H2842" s="11"/>
      <c r="I2842" s="11"/>
      <c r="J2842" s="11"/>
    </row>
    <row r="2843" spans="1:10" ht="15.75" x14ac:dyDescent="0.3">
      <c r="A2843" s="13" t="str">
        <f>HYPERLINK("https://parts-sales.ru/parts/MAN/81501015156","81.50101-5156")</f>
        <v>81.50101-5156</v>
      </c>
      <c r="B2843" s="13" t="str">
        <f>HYPERLINK("https://parts-sales.ru/parts/MAN/81501015156","Защитный лист")</f>
        <v>Защитный лист</v>
      </c>
      <c r="C2843" s="5" t="s">
        <v>38</v>
      </c>
      <c r="D2843" s="6">
        <v>10087.200000000001</v>
      </c>
      <c r="E2843" s="6">
        <v>2234</v>
      </c>
      <c r="F2843" s="9">
        <v>0.78</v>
      </c>
      <c r="H2843" s="11"/>
      <c r="I2843" s="11"/>
      <c r="J2843" s="11"/>
    </row>
    <row r="2844" spans="1:10" ht="15.75" x14ac:dyDescent="0.3">
      <c r="A2844" s="12" t="str">
        <f>HYPERLINK("https://parts-sales.ru/parts/MAN/81502010141","81.50201-0141")</f>
        <v>81.50201-0141</v>
      </c>
      <c r="B2844" s="12" t="str">
        <f>HYPERLINK("https://parts-sales.ru/parts/MAN/81502010141","Тормозная колодка 325X100")</f>
        <v>Тормозная колодка 325X100</v>
      </c>
      <c r="C2844" s="3" t="s">
        <v>38</v>
      </c>
      <c r="D2844" s="4">
        <v>14335.2</v>
      </c>
      <c r="E2844" s="4">
        <v>3483</v>
      </c>
      <c r="F2844" s="8">
        <v>0.76</v>
      </c>
      <c r="H2844" s="11"/>
      <c r="I2844" s="11"/>
      <c r="J2844" s="11"/>
    </row>
    <row r="2845" spans="1:10" ht="15.75" x14ac:dyDescent="0.3">
      <c r="A2845" s="13" t="str">
        <f>HYPERLINK("https://parts-sales.ru/parts/MAN/81502110030","81.50211-0030")</f>
        <v>81.50211-0030</v>
      </c>
      <c r="B2845" s="13" t="str">
        <f>HYPERLINK("https://parts-sales.ru/parts/MAN/81502110030","Болт")</f>
        <v>Болт</v>
      </c>
      <c r="C2845" s="5" t="s">
        <v>38</v>
      </c>
      <c r="D2845" s="6">
        <v>2475.6</v>
      </c>
      <c r="E2845" s="6">
        <v>841</v>
      </c>
      <c r="F2845" s="9">
        <v>0.66</v>
      </c>
      <c r="H2845" s="11"/>
      <c r="I2845" s="11"/>
      <c r="J2845" s="11"/>
    </row>
    <row r="2846" spans="1:10" ht="15.75" x14ac:dyDescent="0.3">
      <c r="A2846" s="12" t="str">
        <f>HYPERLINK("https://parts-sales.ru/parts/MAN/81502120036","81.50212-0036")</f>
        <v>81.50212-0036</v>
      </c>
      <c r="B2846" s="12" t="str">
        <f>HYPERLINK("https://parts-sales.ru/parts/MAN/81502120036","Болт тормозной колодки")</f>
        <v>Болт тормозной колодки</v>
      </c>
      <c r="C2846" s="3" t="s">
        <v>38</v>
      </c>
      <c r="D2846" s="4">
        <v>4403.53</v>
      </c>
      <c r="E2846" s="4">
        <v>2498</v>
      </c>
      <c r="F2846" s="8">
        <v>0.43</v>
      </c>
      <c r="H2846" s="11"/>
      <c r="I2846" s="11"/>
      <c r="J2846" s="11"/>
    </row>
    <row r="2847" spans="1:10" ht="15.75" x14ac:dyDescent="0.3">
      <c r="A2847" s="13" t="str">
        <f>HYPERLINK("https://parts-sales.ru/parts/MAN/81502136014","81.50213-6014")</f>
        <v>81.50213-6014</v>
      </c>
      <c r="B2847" s="13" t="str">
        <f>HYPERLINK("https://parts-sales.ru/parts/MAN/81502136014","Ролик")</f>
        <v>Ролик</v>
      </c>
      <c r="C2847" s="5" t="s">
        <v>38</v>
      </c>
      <c r="D2847" s="6">
        <v>3739.2</v>
      </c>
      <c r="E2847" s="6">
        <v>1444</v>
      </c>
      <c r="F2847" s="9">
        <v>0.61</v>
      </c>
      <c r="H2847" s="11"/>
      <c r="I2847" s="11"/>
      <c r="J2847" s="11"/>
    </row>
    <row r="2848" spans="1:10" ht="15.75" x14ac:dyDescent="0.3">
      <c r="A2848" s="12" t="str">
        <f>HYPERLINK("https://parts-sales.ru/parts/MAN/81502216078","81.50221-6078")</f>
        <v>81.50221-6078</v>
      </c>
      <c r="B2848" s="12" t="str">
        <f>HYPERLINK("https://parts-sales.ru/parts/MAN/81502216078","Комплект тормозных накладок 18,0 180 MM-")</f>
        <v>Комплект тормозных накладок 18,0 180 MM-</v>
      </c>
      <c r="C2848" s="3" t="s">
        <v>38</v>
      </c>
      <c r="D2848" s="4">
        <v>13046.62</v>
      </c>
      <c r="E2848" s="4">
        <v>6088</v>
      </c>
      <c r="F2848" s="8">
        <v>0.53</v>
      </c>
      <c r="H2848" s="11"/>
      <c r="I2848" s="11"/>
      <c r="J2848" s="11"/>
    </row>
    <row r="2849" spans="1:10" ht="15.75" x14ac:dyDescent="0.3">
      <c r="A2849" s="13" t="str">
        <f>HYPERLINK("https://parts-sales.ru/parts/MAN/81502216079","81.50221-6079")</f>
        <v>81.50221-6079</v>
      </c>
      <c r="B2849" s="13" t="str">
        <f>HYPERLINK("https://parts-sales.ru/parts/MAN/81502216079","Комплект тормозных накладок 18,8 180 MM-")</f>
        <v>Комплект тормозных накладок 18,8 180 MM-</v>
      </c>
      <c r="C2849" s="5" t="s">
        <v>38</v>
      </c>
      <c r="D2849" s="6">
        <v>22100.04</v>
      </c>
      <c r="E2849" s="6">
        <v>9247</v>
      </c>
      <c r="F2849" s="9">
        <v>0.57999999999999996</v>
      </c>
      <c r="H2849" s="11"/>
      <c r="I2849" s="11"/>
      <c r="J2849" s="11"/>
    </row>
    <row r="2850" spans="1:10" ht="15.75" x14ac:dyDescent="0.3">
      <c r="A2850" s="12" t="str">
        <f>HYPERLINK("https://parts-sales.ru/parts/MAN/81502216084","81.50221-6084")</f>
        <v>81.50221-6084</v>
      </c>
      <c r="B2850" s="12" t="str">
        <f>HYPERLINK("https://parts-sales.ru/parts/MAN/81502216084","Комплект тормозных накладок 19,5 220 MM-")</f>
        <v>Комплект тормозных накладок 19,5 220 MM-</v>
      </c>
      <c r="C2850" s="3" t="s">
        <v>38</v>
      </c>
      <c r="D2850" s="4">
        <v>19098.07</v>
      </c>
      <c r="E2850" s="4">
        <v>8912</v>
      </c>
      <c r="F2850" s="8">
        <v>0.53</v>
      </c>
      <c r="H2850" s="11"/>
      <c r="I2850" s="11"/>
      <c r="J2850" s="11"/>
    </row>
    <row r="2851" spans="1:10" ht="15.75" x14ac:dyDescent="0.3">
      <c r="A2851" s="13" t="str">
        <f>HYPERLINK("https://parts-sales.ru/parts/MAN/81502216101","81.50221-6101")</f>
        <v>81.50221-6101</v>
      </c>
      <c r="B2851" s="13" t="str">
        <f>HYPERLINK("https://parts-sales.ru/parts/MAN/81502216101","Комплект тормозных накладок 16,7 220MM-B")</f>
        <v>Комплект тормозных накладок 16,7 220MM-B</v>
      </c>
      <c r="C2851" s="5" t="s">
        <v>38</v>
      </c>
      <c r="D2851" s="6">
        <v>23566.799999999999</v>
      </c>
      <c r="E2851" s="6">
        <v>10237</v>
      </c>
      <c r="F2851" s="9">
        <v>0.56999999999999995</v>
      </c>
      <c r="H2851" s="11"/>
      <c r="I2851" s="11"/>
      <c r="J2851" s="11"/>
    </row>
    <row r="2852" spans="1:10" ht="15.75" x14ac:dyDescent="0.3">
      <c r="A2852" s="12" t="str">
        <f>HYPERLINK("https://parts-sales.ru/parts/MAN/81502216127","81.50221-6127")</f>
        <v>81.50221-6127</v>
      </c>
      <c r="B2852" s="12" t="str">
        <f>HYPERLINK("https://parts-sales.ru/parts/MAN/81502216127","Комплект тормозных накладок 16,7 160MM-B")</f>
        <v>Комплект тормозных накладок 16,7 160MM-B</v>
      </c>
      <c r="C2852" s="3" t="s">
        <v>38</v>
      </c>
      <c r="D2852" s="4">
        <v>23395.54</v>
      </c>
      <c r="E2852" s="4">
        <v>10917</v>
      </c>
      <c r="F2852" s="8">
        <v>0.53</v>
      </c>
      <c r="H2852" s="11"/>
      <c r="I2852" s="11"/>
      <c r="J2852" s="11"/>
    </row>
    <row r="2853" spans="1:10" ht="15.75" x14ac:dyDescent="0.3">
      <c r="A2853" s="13" t="str">
        <f>HYPERLINK("https://parts-sales.ru/parts/MAN/81502216128","81.50221-6128")</f>
        <v>81.50221-6128</v>
      </c>
      <c r="B2853" s="13" t="str">
        <f>HYPERLINK("https://parts-sales.ru/parts/MAN/81502216128","Комплект тормозных накладок 18,8 160MM-B")</f>
        <v>Комплект тормозных накладок 18,8 160MM-B</v>
      </c>
      <c r="C2853" s="5" t="s">
        <v>38</v>
      </c>
      <c r="D2853" s="6">
        <v>25430.53</v>
      </c>
      <c r="E2853" s="6">
        <v>11652</v>
      </c>
      <c r="F2853" s="9">
        <v>0.54</v>
      </c>
      <c r="H2853" s="11"/>
      <c r="I2853" s="11"/>
      <c r="J2853" s="11"/>
    </row>
    <row r="2854" spans="1:10" ht="15.75" x14ac:dyDescent="0.3">
      <c r="A2854" s="12" t="str">
        <f>HYPERLINK("https://parts-sales.ru/parts/MAN/81502216138","81.50221-6138")</f>
        <v>81.50221-6138</v>
      </c>
      <c r="B2854" s="12" t="str">
        <f>HYPERLINK("https://parts-sales.ru/parts/MAN/81502216138","Комплект тормозных накладок 18,0 160MM-B")</f>
        <v>Комплект тормозных накладок 18,0 160MM-B</v>
      </c>
      <c r="C2854" s="3" t="s">
        <v>38</v>
      </c>
      <c r="D2854" s="4">
        <v>12665.95</v>
      </c>
      <c r="E2854" s="4">
        <v>5910</v>
      </c>
      <c r="F2854" s="8">
        <v>0.53</v>
      </c>
      <c r="H2854" s="11"/>
      <c r="I2854" s="11"/>
      <c r="J2854" s="11"/>
    </row>
    <row r="2855" spans="1:10" ht="15.75" x14ac:dyDescent="0.3">
      <c r="A2855" s="13" t="str">
        <f>HYPERLINK("https://parts-sales.ru/parts/MAN/81502216142","81.50221-6142")</f>
        <v>81.50221-6142</v>
      </c>
      <c r="B2855" s="13" t="str">
        <f>HYPERLINK("https://parts-sales.ru/parts/MAN/81502216142","Комплект тормозных накладок 18,0 220MM-B")</f>
        <v>Комплект тормозных накладок 18,0 220MM-B</v>
      </c>
      <c r="C2855" s="5" t="s">
        <v>38</v>
      </c>
      <c r="D2855" s="6">
        <v>15172.85</v>
      </c>
      <c r="E2855" s="6">
        <v>7562</v>
      </c>
      <c r="F2855" s="9">
        <v>0.5</v>
      </c>
      <c r="H2855" s="11"/>
      <c r="I2855" s="11"/>
      <c r="J2855" s="11"/>
    </row>
    <row r="2856" spans="1:10" ht="15.75" x14ac:dyDescent="0.3">
      <c r="A2856" s="12" t="str">
        <f>HYPERLINK("https://parts-sales.ru/parts/MAN/81503010221","81.50301-0221")</f>
        <v>81.50301-0221</v>
      </c>
      <c r="B2856" s="12" t="str">
        <f>HYPERLINK("https://parts-sales.ru/parts/MAN/81503010221","Тормозной распред. вал")</f>
        <v>Тормозной распред. вал</v>
      </c>
      <c r="C2856" s="3" t="s">
        <v>38</v>
      </c>
      <c r="D2856" s="4">
        <v>46624.800000000003</v>
      </c>
      <c r="E2856" s="4">
        <v>9777</v>
      </c>
      <c r="F2856" s="8">
        <v>0.79</v>
      </c>
      <c r="H2856" s="11"/>
      <c r="I2856" s="11"/>
      <c r="J2856" s="11"/>
    </row>
    <row r="2857" spans="1:10" ht="15.75" x14ac:dyDescent="0.3">
      <c r="A2857" s="13" t="str">
        <f>HYPERLINK("https://parts-sales.ru/parts/MAN/81503080014","81.50308-0014")</f>
        <v>81.50308-0014</v>
      </c>
      <c r="B2857" s="13" t="str">
        <f>HYPERLINK("https://parts-sales.ru/parts/MAN/81503080014","Держатель уплот. кольца")</f>
        <v>Держатель уплот. кольца</v>
      </c>
      <c r="C2857" s="5" t="s">
        <v>38</v>
      </c>
      <c r="D2857" s="6">
        <v>2517.6</v>
      </c>
      <c r="E2857" s="6">
        <v>755</v>
      </c>
      <c r="F2857" s="9">
        <v>0.7</v>
      </c>
      <c r="H2857" s="11"/>
      <c r="I2857" s="11"/>
      <c r="J2857" s="11"/>
    </row>
    <row r="2858" spans="1:10" ht="15.75" x14ac:dyDescent="0.3">
      <c r="A2858" s="12" t="str">
        <f>HYPERLINK("https://parts-sales.ru/parts/MAN/81503100134","81.50310-0134")</f>
        <v>81.50310-0134</v>
      </c>
      <c r="B2858" s="12" t="str">
        <f>HYPERLINK("https://parts-sales.ru/parts/MAN/81503100134","Кронштейн подшипника")</f>
        <v>Кронштейн подшипника</v>
      </c>
      <c r="C2858" s="3" t="s">
        <v>38</v>
      </c>
      <c r="D2858" s="4">
        <v>16266</v>
      </c>
      <c r="E2858" s="4">
        <v>5618</v>
      </c>
      <c r="F2858" s="8">
        <v>0.65</v>
      </c>
      <c r="H2858" s="11"/>
      <c r="I2858" s="11"/>
      <c r="J2858" s="11"/>
    </row>
    <row r="2859" spans="1:10" ht="15.75" x14ac:dyDescent="0.3">
      <c r="A2859" s="13" t="str">
        <f>HYPERLINK("https://parts-sales.ru/parts/MAN/81504106608","81.50410-6608")</f>
        <v>81.50410-6608</v>
      </c>
      <c r="B2859" s="13" t="str">
        <f>HYPERLINK("https://parts-sales.ru/parts/MAN/81504106608","Торм. цил-р с пруж. энергоакк. TYP 2424")</f>
        <v>Торм. цил-р с пруж. энергоакк. TYP 2424</v>
      </c>
      <c r="C2859" s="5" t="s">
        <v>38</v>
      </c>
      <c r="D2859" s="6">
        <v>117655.2</v>
      </c>
      <c r="E2859" s="6">
        <v>21840</v>
      </c>
      <c r="F2859" s="9">
        <v>0.81</v>
      </c>
      <c r="H2859" s="11"/>
      <c r="I2859" s="11"/>
      <c r="J2859" s="11"/>
    </row>
    <row r="2860" spans="1:10" ht="15.75" x14ac:dyDescent="0.3">
      <c r="A2860" s="12" t="str">
        <f>HYPERLINK("https://parts-sales.ru/parts/MAN/81504106609","81.50410-6609")</f>
        <v>81.50410-6609</v>
      </c>
      <c r="B2860" s="12" t="str">
        <f>HYPERLINK("https://parts-sales.ru/parts/MAN/81504106609","Торм. цил-р с пруж. энергоакк. TYP 2424")</f>
        <v>Торм. цил-р с пруж. энергоакк. TYP 2424</v>
      </c>
      <c r="C2860" s="3" t="s">
        <v>38</v>
      </c>
      <c r="D2860" s="4">
        <v>117655.2</v>
      </c>
      <c r="E2860" s="4">
        <v>16259</v>
      </c>
      <c r="F2860" s="8">
        <v>0.86</v>
      </c>
      <c r="H2860" s="11"/>
      <c r="I2860" s="11"/>
      <c r="J2860" s="11"/>
    </row>
    <row r="2861" spans="1:10" ht="15.75" x14ac:dyDescent="0.3">
      <c r="A2861" s="13" t="str">
        <f>HYPERLINK("https://parts-sales.ru/parts/MAN/81504106610","81.50410-6610")</f>
        <v>81.50410-6610</v>
      </c>
      <c r="B2861" s="13" t="str">
        <f>HYPERLINK("https://parts-sales.ru/parts/MAN/81504106610","Торм. цил-р с пруж. энергоакк. TYP 2424")</f>
        <v>Торм. цил-р с пруж. энергоакк. TYP 2424</v>
      </c>
      <c r="C2861" s="5" t="s">
        <v>38</v>
      </c>
      <c r="D2861" s="6">
        <v>45453.26</v>
      </c>
      <c r="E2861" s="6">
        <v>9600</v>
      </c>
      <c r="F2861" s="9">
        <v>0.79</v>
      </c>
      <c r="H2861" s="11"/>
      <c r="I2861" s="11"/>
      <c r="J2861" s="11"/>
    </row>
    <row r="2862" spans="1:10" ht="15.75" x14ac:dyDescent="0.3">
      <c r="A2862" s="12" t="str">
        <f>HYPERLINK("https://parts-sales.ru/parts/MAN/81504109540","81.50410-9540")</f>
        <v>81.50410-9540</v>
      </c>
      <c r="B2862" s="12" t="s">
        <v>56</v>
      </c>
      <c r="C2862" s="3" t="s">
        <v>38</v>
      </c>
      <c r="D2862" s="4">
        <v>48128.4</v>
      </c>
      <c r="E2862" s="4">
        <v>11863</v>
      </c>
      <c r="F2862" s="8">
        <v>0.75</v>
      </c>
      <c r="H2862" s="11"/>
      <c r="I2862" s="11"/>
      <c r="J2862" s="11"/>
    </row>
    <row r="2863" spans="1:10" ht="15.75" x14ac:dyDescent="0.3">
      <c r="A2863" s="13" t="str">
        <f>HYPERLINK("https://parts-sales.ru/parts/MAN/81504109583","81.50410-9583")</f>
        <v>81.50410-9583</v>
      </c>
      <c r="B2863" s="13" t="str">
        <f>HYPERLINK("https://parts-sales.ru/parts/MAN/81504109583","Торм. цил-р с пруж. энергоакк.")</f>
        <v>Торм. цил-р с пруж. энергоакк.</v>
      </c>
      <c r="C2863" s="5" t="s">
        <v>38</v>
      </c>
      <c r="D2863" s="6">
        <v>37995.79</v>
      </c>
      <c r="E2863" s="6">
        <v>17409</v>
      </c>
      <c r="F2863" s="9">
        <v>0.54</v>
      </c>
      <c r="H2863" s="11"/>
      <c r="I2863" s="11"/>
      <c r="J2863" s="11"/>
    </row>
    <row r="2864" spans="1:10" ht="15.75" x14ac:dyDescent="0.3">
      <c r="A2864" s="12" t="str">
        <f>HYPERLINK("https://parts-sales.ru/parts/MAN/81504109584","81.50410-9584")</f>
        <v>81.50410-9584</v>
      </c>
      <c r="B2864" s="12" t="str">
        <f>HYPERLINK("https://parts-sales.ru/parts/MAN/81504109584","Торм. цил-р с пруж. энергоакк.")</f>
        <v>Торм. цил-р с пруж. энергоакк.</v>
      </c>
      <c r="C2864" s="3" t="s">
        <v>38</v>
      </c>
      <c r="D2864" s="4">
        <v>39952.1</v>
      </c>
      <c r="E2864" s="4">
        <v>23535</v>
      </c>
      <c r="F2864" s="8">
        <v>0.41</v>
      </c>
      <c r="H2864" s="11"/>
      <c r="I2864" s="11"/>
      <c r="J2864" s="11"/>
    </row>
    <row r="2865" spans="1:10" ht="15.75" x14ac:dyDescent="0.3">
      <c r="A2865" s="13" t="str">
        <f>HYPERLINK("https://parts-sales.ru/parts/MAN/81504109675","81.50410-9675")</f>
        <v>81.50410-9675</v>
      </c>
      <c r="B2865" s="13" t="str">
        <f>HYPERLINK("https://parts-sales.ru/parts/MAN/81504109675","Торм. цил-р с пруж. энергоакк.")</f>
        <v>Торм. цил-р с пруж. энергоакк.</v>
      </c>
      <c r="C2865" s="5" t="s">
        <v>38</v>
      </c>
      <c r="D2865" s="6">
        <v>95430</v>
      </c>
      <c r="E2865" s="6">
        <v>21475</v>
      </c>
      <c r="F2865" s="9">
        <v>0.77</v>
      </c>
      <c r="H2865" s="11"/>
      <c r="I2865" s="11"/>
      <c r="J2865" s="11"/>
    </row>
    <row r="2866" spans="1:10" ht="15.75" x14ac:dyDescent="0.3">
      <c r="A2866" s="12" t="str">
        <f>HYPERLINK("https://parts-sales.ru/parts/MAN/81504109866","81.50410-9866")</f>
        <v>81.50410-9866</v>
      </c>
      <c r="B2866" s="12" t="str">
        <f>HYPERLINK("https://parts-sales.ru/parts/MAN/81504109866","Торм. цил-р с пруж. энергоакк.")</f>
        <v>Торм. цил-р с пруж. энергоакк.</v>
      </c>
      <c r="C2866" s="3" t="s">
        <v>38</v>
      </c>
      <c r="D2866" s="4">
        <v>71247.600000000006</v>
      </c>
      <c r="E2866" s="4">
        <v>9282</v>
      </c>
      <c r="F2866" s="8">
        <v>0.87</v>
      </c>
      <c r="H2866" s="11"/>
      <c r="I2866" s="11"/>
      <c r="J2866" s="11"/>
    </row>
    <row r="2867" spans="1:10" ht="15.75" x14ac:dyDescent="0.3">
      <c r="A2867" s="13" t="str">
        <f>HYPERLINK("https://parts-sales.ru/parts/MAN/81504109876","81.50410-9876")</f>
        <v>81.50410-9876</v>
      </c>
      <c r="B2867" s="13" t="str">
        <f>HYPERLINK("https://parts-sales.ru/parts/MAN/81504109876","Торм. цил-р с пруж. энергоакк. справа")</f>
        <v>Торм. цил-р с пруж. энергоакк. справа</v>
      </c>
      <c r="C2867" s="5" t="s">
        <v>38</v>
      </c>
      <c r="D2867" s="6">
        <v>98044.800000000003</v>
      </c>
      <c r="E2867" s="6">
        <v>22460</v>
      </c>
      <c r="F2867" s="9">
        <v>0.77</v>
      </c>
      <c r="H2867" s="11"/>
      <c r="I2867" s="11"/>
      <c r="J2867" s="11"/>
    </row>
    <row r="2868" spans="1:10" ht="15.75" x14ac:dyDescent="0.3">
      <c r="A2868" s="12" t="str">
        <f>HYPERLINK("https://parts-sales.ru/parts/MAN/81504109918","81.50410-9918")</f>
        <v>81.50410-9918</v>
      </c>
      <c r="B2868" s="12" t="s">
        <v>57</v>
      </c>
      <c r="C2868" s="3" t="s">
        <v>38</v>
      </c>
      <c r="D2868" s="4">
        <v>96085.2</v>
      </c>
      <c r="E2868" s="4">
        <v>18810</v>
      </c>
      <c r="F2868" s="8">
        <v>0.8</v>
      </c>
      <c r="H2868" s="11"/>
      <c r="I2868" s="11"/>
      <c r="J2868" s="11"/>
    </row>
    <row r="2869" spans="1:10" ht="15.75" x14ac:dyDescent="0.3">
      <c r="A2869" s="13" t="str">
        <f>HYPERLINK("https://parts-sales.ru/parts/MAN/81504109919","81.50410-9919")</f>
        <v>81.50410-9919</v>
      </c>
      <c r="B2869" s="13" t="s">
        <v>58</v>
      </c>
      <c r="C2869" s="5" t="s">
        <v>38</v>
      </c>
      <c r="D2869" s="6">
        <v>96085.2</v>
      </c>
      <c r="E2869" s="6">
        <v>22320</v>
      </c>
      <c r="F2869" s="9">
        <v>0.77</v>
      </c>
      <c r="H2869" s="11"/>
      <c r="I2869" s="11"/>
      <c r="J2869" s="11"/>
    </row>
    <row r="2870" spans="1:10" ht="15.75" x14ac:dyDescent="0.3">
      <c r="A2870" s="12" t="str">
        <f>HYPERLINK("https://parts-sales.ru/parts/MAN/81506106259","81.50610-6259")</f>
        <v>81.50610-6259</v>
      </c>
      <c r="B2870" s="12" t="str">
        <f>HYPERLINK("https://parts-sales.ru/parts/MAN/81506106259","Исполнит. элемент рыч. мех-ма автоматиче")</f>
        <v>Исполнит. элемент рыч. мех-ма автоматиче</v>
      </c>
      <c r="C2870" s="3" t="s">
        <v>38</v>
      </c>
      <c r="D2870" s="4">
        <v>50431.25</v>
      </c>
      <c r="E2870" s="4">
        <v>23543</v>
      </c>
      <c r="F2870" s="8">
        <v>0.53</v>
      </c>
      <c r="H2870" s="11"/>
      <c r="I2870" s="11"/>
      <c r="J2870" s="11"/>
    </row>
    <row r="2871" spans="1:10" ht="15.75" x14ac:dyDescent="0.3">
      <c r="A2871" s="13" t="str">
        <f>HYPERLINK("https://parts-sales.ru/parts/MAN/81506106260","81.50610-6260")</f>
        <v>81.50610-6260</v>
      </c>
      <c r="B2871" s="13" t="str">
        <f>HYPERLINK("https://parts-sales.ru/parts/MAN/81506106260","Исполнит. элемент рыч. мех-ма автоматиче")</f>
        <v>Исполнит. элемент рыч. мех-ма автоматиче</v>
      </c>
      <c r="C2871" s="5" t="s">
        <v>38</v>
      </c>
      <c r="D2871" s="6">
        <v>18786.080000000002</v>
      </c>
      <c r="E2871" s="6">
        <v>12494</v>
      </c>
      <c r="F2871" s="9">
        <v>0.33</v>
      </c>
      <c r="H2871" s="11"/>
      <c r="I2871" s="11"/>
      <c r="J2871" s="11"/>
    </row>
    <row r="2872" spans="1:10" ht="15.75" x14ac:dyDescent="0.3">
      <c r="A2872" s="12" t="str">
        <f>HYPERLINK("https://parts-sales.ru/parts/MAN/81506106264","81.50610-6264")</f>
        <v>81.50610-6264</v>
      </c>
      <c r="B2872" s="12" t="str">
        <f>HYPERLINK("https://parts-sales.ru/parts/MAN/81506106264","Исполнит. элемент рыч. мех-ма автоматиче")</f>
        <v>Исполнит. элемент рыч. мех-ма автоматиче</v>
      </c>
      <c r="C2872" s="3" t="s">
        <v>38</v>
      </c>
      <c r="D2872" s="4">
        <v>45589.2</v>
      </c>
      <c r="E2872" s="4">
        <v>9914</v>
      </c>
      <c r="F2872" s="8">
        <v>0.78</v>
      </c>
      <c r="H2872" s="11"/>
      <c r="I2872" s="11"/>
      <c r="J2872" s="11"/>
    </row>
    <row r="2873" spans="1:10" ht="15.75" x14ac:dyDescent="0.3">
      <c r="A2873" s="13" t="str">
        <f>HYPERLINK("https://parts-sales.ru/parts/MAN/81506106266","81.50610-6266")</f>
        <v>81.50610-6266</v>
      </c>
      <c r="B2873" s="13" t="str">
        <f>HYPERLINK("https://parts-sales.ru/parts/MAN/81506106266","Исполнит. элемент рыч. мех-ма справа")</f>
        <v>Исполнит. элемент рыч. мех-ма справа</v>
      </c>
      <c r="C2873" s="5" t="s">
        <v>38</v>
      </c>
      <c r="D2873" s="6">
        <v>21857.57</v>
      </c>
      <c r="E2873" s="6">
        <v>14538</v>
      </c>
      <c r="F2873" s="9">
        <v>0.33</v>
      </c>
      <c r="H2873" s="11"/>
      <c r="I2873" s="11"/>
      <c r="J2873" s="11"/>
    </row>
    <row r="2874" spans="1:10" ht="15.75" x14ac:dyDescent="0.3">
      <c r="A2874" s="12" t="str">
        <f>HYPERLINK("https://parts-sales.ru/parts/MAN/81508026030","81.50802-6030")</f>
        <v>81.50802-6030</v>
      </c>
      <c r="B2874" s="12" t="str">
        <f>HYPERLINK("https://parts-sales.ru/parts/MAN/81508026030","Рем компл дисковых тормозов Пыльник")</f>
        <v>Рем компл дисковых тормозов Пыльник</v>
      </c>
      <c r="C2874" s="3" t="s">
        <v>38</v>
      </c>
      <c r="D2874" s="4">
        <v>14660.4</v>
      </c>
      <c r="E2874" s="4">
        <v>3498</v>
      </c>
      <c r="F2874" s="8">
        <v>0.76</v>
      </c>
      <c r="H2874" s="11"/>
      <c r="I2874" s="11"/>
      <c r="J2874" s="11"/>
    </row>
    <row r="2875" spans="1:10" ht="15.75" x14ac:dyDescent="0.3">
      <c r="A2875" s="13" t="str">
        <f>HYPERLINK("https://parts-sales.ru/parts/MAN/81508030070","81.50803-0070")</f>
        <v>81.50803-0070</v>
      </c>
      <c r="B2875" s="13" t="s">
        <v>59</v>
      </c>
      <c r="C2875" s="5" t="s">
        <v>38</v>
      </c>
      <c r="D2875" s="6">
        <v>42612</v>
      </c>
      <c r="E2875" s="6">
        <v>9981</v>
      </c>
      <c r="F2875" s="9">
        <v>0.77</v>
      </c>
      <c r="H2875" s="11"/>
      <c r="I2875" s="11"/>
      <c r="J2875" s="11"/>
    </row>
    <row r="2876" spans="1:10" ht="15.75" x14ac:dyDescent="0.3">
      <c r="A2876" s="12" t="str">
        <f>HYPERLINK("https://parts-sales.ru/parts/MAN/81508046322","81.50804-6322")</f>
        <v>81.50804-6322</v>
      </c>
      <c r="B2876" s="12" t="str">
        <f>HYPERLINK("https://parts-sales.ru/parts/MAN/81508046322","Суппорт диск. тормоз. мех-ма")</f>
        <v>Суппорт диск. тормоз. мех-ма</v>
      </c>
      <c r="C2876" s="3" t="s">
        <v>38</v>
      </c>
      <c r="D2876" s="4">
        <v>102274.8</v>
      </c>
      <c r="E2876" s="4">
        <v>31157</v>
      </c>
      <c r="F2876" s="8">
        <v>0.7</v>
      </c>
      <c r="H2876" s="11"/>
      <c r="I2876" s="11"/>
      <c r="J2876" s="11"/>
    </row>
    <row r="2877" spans="1:10" ht="15.75" x14ac:dyDescent="0.3">
      <c r="A2877" s="13" t="str">
        <f>HYPERLINK("https://parts-sales.ru/parts/MAN/81508049656","81.50804-9656")</f>
        <v>81.50804-9656</v>
      </c>
      <c r="B2877" s="13" t="str">
        <f>HYPERLINK("https://parts-sales.ru/parts/MAN/81508049656","Суппорт диск. тормоз. мех-ма")</f>
        <v>Суппорт диск. тормоз. мех-ма</v>
      </c>
      <c r="C2877" s="5" t="s">
        <v>38</v>
      </c>
      <c r="D2877" s="6">
        <v>88119.43</v>
      </c>
      <c r="E2877" s="6">
        <v>41123</v>
      </c>
      <c r="F2877" s="9">
        <v>0.53</v>
      </c>
      <c r="H2877" s="11"/>
      <c r="I2877" s="11"/>
      <c r="J2877" s="11"/>
    </row>
    <row r="2878" spans="1:10" ht="15.75" x14ac:dyDescent="0.3">
      <c r="A2878" s="12" t="str">
        <f>HYPERLINK("https://parts-sales.ru/parts/MAN/81508206079","81.50820-6079")</f>
        <v>81.50820-6079</v>
      </c>
      <c r="B2878" s="12" t="str">
        <f>HYPERLINK("https://parts-sales.ru/parts/MAN/81508206079","Комплект тормозных накладок MAN-MN201 Pr")</f>
        <v>Комплект тормозных накладок MAN-MN201 Pr</v>
      </c>
      <c r="C2878" s="3" t="s">
        <v>38</v>
      </c>
      <c r="D2878" s="4">
        <v>33112.800000000003</v>
      </c>
      <c r="E2878" s="4">
        <v>13976</v>
      </c>
      <c r="F2878" s="8">
        <v>0.57999999999999996</v>
      </c>
      <c r="H2878" s="11"/>
      <c r="I2878" s="11"/>
      <c r="J2878" s="11"/>
    </row>
    <row r="2879" spans="1:10" ht="15.75" x14ac:dyDescent="0.3">
      <c r="A2879" s="13" t="str">
        <f>HYPERLINK("https://parts-sales.ru/parts/MAN/81508226024","81.50822-6024")</f>
        <v>81.50822-6024</v>
      </c>
      <c r="B2879" s="13" t="str">
        <f>HYPERLINK("https://parts-sales.ru/parts/MAN/81508226024","Рем компл дисковых тормозов универсальны")</f>
        <v>Рем компл дисковых тормозов универсальны</v>
      </c>
      <c r="C2879" s="5" t="s">
        <v>38</v>
      </c>
      <c r="D2879" s="6">
        <v>11638.8</v>
      </c>
      <c r="E2879" s="6">
        <v>3036</v>
      </c>
      <c r="F2879" s="9">
        <v>0.74</v>
      </c>
      <c r="H2879" s="11"/>
      <c r="I2879" s="11"/>
      <c r="J2879" s="11"/>
    </row>
    <row r="2880" spans="1:10" ht="15.75" x14ac:dyDescent="0.3">
      <c r="A2880" s="12" t="str">
        <f>HYPERLINK("https://parts-sales.ru/parts/MAN/81511016455","81.51101-6455")</f>
        <v>81.51101-6455</v>
      </c>
      <c r="B2880" s="12" t="s">
        <v>60</v>
      </c>
      <c r="C2880" s="3" t="s">
        <v>38</v>
      </c>
      <c r="D2880" s="4">
        <v>34644</v>
      </c>
      <c r="E2880" s="4">
        <v>7346</v>
      </c>
      <c r="F2880" s="8">
        <v>0.79</v>
      </c>
      <c r="H2880" s="11"/>
      <c r="I2880" s="11"/>
      <c r="J2880" s="11"/>
    </row>
    <row r="2881" spans="1:10" ht="15.75" x14ac:dyDescent="0.3">
      <c r="A2881" s="13" t="str">
        <f>HYPERLINK("https://parts-sales.ru/parts/MAN/81511016481","81.51101-6481")</f>
        <v>81.51101-6481</v>
      </c>
      <c r="B2881" s="13" t="s">
        <v>61</v>
      </c>
      <c r="C2881" s="5" t="s">
        <v>38</v>
      </c>
      <c r="D2881" s="6">
        <v>34599.93</v>
      </c>
      <c r="E2881" s="6">
        <v>14477</v>
      </c>
      <c r="F2881" s="9">
        <v>0.57999999999999996</v>
      </c>
      <c r="H2881" s="11"/>
      <c r="I2881" s="11"/>
      <c r="J2881" s="11"/>
    </row>
    <row r="2882" spans="1:10" ht="15.75" x14ac:dyDescent="0.3">
      <c r="A2882" s="12" t="str">
        <f>HYPERLINK("https://parts-sales.ru/parts/MAN/81512265279","81.51226-5279")</f>
        <v>81.51226-5279</v>
      </c>
      <c r="B2882" s="12" t="str">
        <f>HYPERLINK("https://parts-sales.ru/parts/MAN/81512265279","Тормозной провод 16x1,5x2754,4")</f>
        <v>Тормозной провод 16x1,5x2754,4</v>
      </c>
      <c r="C2882" s="3" t="s">
        <v>38</v>
      </c>
      <c r="D2882" s="4">
        <v>23168.400000000001</v>
      </c>
      <c r="E2882" s="4">
        <v>5661</v>
      </c>
      <c r="F2882" s="8">
        <v>0.76</v>
      </c>
      <c r="H2882" s="11"/>
      <c r="I2882" s="11"/>
      <c r="J2882" s="11"/>
    </row>
    <row r="2883" spans="1:10" ht="15.75" x14ac:dyDescent="0.3">
      <c r="A2883" s="13" t="str">
        <f>HYPERLINK("https://parts-sales.ru/parts/MAN/81512405001","81.51240-5001")</f>
        <v>81.51240-5001</v>
      </c>
      <c r="B2883" s="13" t="str">
        <f>HYPERLINK("https://parts-sales.ru/parts/MAN/81512405001","Держатель")</f>
        <v>Держатель</v>
      </c>
      <c r="C2883" s="5" t="s">
        <v>38</v>
      </c>
      <c r="D2883" s="6">
        <v>4173.6000000000004</v>
      </c>
      <c r="E2883" s="6">
        <v>44</v>
      </c>
      <c r="F2883" s="9">
        <v>0.99</v>
      </c>
      <c r="H2883" s="11"/>
      <c r="I2883" s="11"/>
      <c r="J2883" s="11"/>
    </row>
    <row r="2884" spans="1:10" ht="15.75" x14ac:dyDescent="0.3">
      <c r="A2884" s="12" t="str">
        <f>HYPERLINK("https://parts-sales.ru/parts/MAN/81512405023","81.51240-5023")</f>
        <v>81.51240-5023</v>
      </c>
      <c r="B2884" s="12" t="str">
        <f>HYPERLINK("https://parts-sales.ru/parts/MAN/81512405023","Держатель")</f>
        <v>Держатель</v>
      </c>
      <c r="C2884" s="3" t="s">
        <v>38</v>
      </c>
      <c r="D2884" s="4">
        <v>8520</v>
      </c>
      <c r="E2884" s="4">
        <v>1473</v>
      </c>
      <c r="F2884" s="8">
        <v>0.83</v>
      </c>
      <c r="H2884" s="11"/>
      <c r="I2884" s="11"/>
      <c r="J2884" s="11"/>
    </row>
    <row r="2885" spans="1:10" ht="15.75" x14ac:dyDescent="0.3">
      <c r="A2885" s="13" t="str">
        <f>HYPERLINK("https://parts-sales.ru/parts/MAN/81512606071","81.51260-6071")</f>
        <v>81.51260-6071</v>
      </c>
      <c r="B2885" s="13" t="str">
        <f>HYPERLINK("https://parts-sales.ru/parts/MAN/81512606071","Водоотстойник")</f>
        <v>Водоотстойник</v>
      </c>
      <c r="C2885" s="5" t="s">
        <v>38</v>
      </c>
      <c r="D2885" s="6">
        <v>91129.2</v>
      </c>
      <c r="E2885" s="6">
        <v>28870</v>
      </c>
      <c r="F2885" s="9">
        <v>0.68</v>
      </c>
      <c r="H2885" s="11"/>
      <c r="I2885" s="11"/>
      <c r="J2885" s="11"/>
    </row>
    <row r="2886" spans="1:10" ht="15.75" x14ac:dyDescent="0.3">
      <c r="A2886" s="12" t="str">
        <f>HYPERLINK("https://parts-sales.ru/parts/MAN/81517105566","81.51710-5566")</f>
        <v>81.51710-5566</v>
      </c>
      <c r="B2886" s="12" t="str">
        <f>HYPERLINK("https://parts-sales.ru/parts/MAN/81517105566","Держатель")</f>
        <v>Держатель</v>
      </c>
      <c r="C2886" s="3" t="s">
        <v>38</v>
      </c>
      <c r="D2886" s="4">
        <v>9293.83</v>
      </c>
      <c r="E2886" s="4">
        <v>3882</v>
      </c>
      <c r="F2886" s="8">
        <v>0.57999999999999996</v>
      </c>
      <c r="H2886" s="11"/>
      <c r="I2886" s="11"/>
      <c r="J2886" s="11"/>
    </row>
    <row r="2887" spans="1:10" ht="15.75" x14ac:dyDescent="0.3">
      <c r="A2887" s="13" t="str">
        <f>HYPERLINK("https://parts-sales.ru/parts/MAN/81517105596","81.51710-5596")</f>
        <v>81.51710-5596</v>
      </c>
      <c r="B2887" s="13" t="str">
        <f>HYPERLINK("https://parts-sales.ru/parts/MAN/81517105596","Держатель")</f>
        <v>Держатель</v>
      </c>
      <c r="C2887" s="5" t="s">
        <v>38</v>
      </c>
      <c r="D2887" s="6">
        <v>9445.2000000000007</v>
      </c>
      <c r="E2887" s="6">
        <v>1959</v>
      </c>
      <c r="F2887" s="9">
        <v>0.79</v>
      </c>
      <c r="H2887" s="11"/>
      <c r="I2887" s="11"/>
      <c r="J2887" s="11"/>
    </row>
    <row r="2888" spans="1:10" ht="15.75" x14ac:dyDescent="0.3">
      <c r="A2888" s="12" t="str">
        <f>HYPERLINK("https://parts-sales.ru/parts/MAN/81517150212","81.51715-0212")</f>
        <v>81.51715-0212</v>
      </c>
      <c r="B2888" s="12" t="str">
        <f>HYPERLINK("https://parts-sales.ru/parts/MAN/81517150212","Держатель")</f>
        <v>Держатель</v>
      </c>
      <c r="C2888" s="3" t="s">
        <v>38</v>
      </c>
      <c r="D2888" s="4">
        <v>13930.8</v>
      </c>
      <c r="E2888" s="4">
        <v>2538</v>
      </c>
      <c r="F2888" s="8">
        <v>0.82</v>
      </c>
      <c r="H2888" s="11"/>
      <c r="I2888" s="11"/>
      <c r="J2888" s="11"/>
    </row>
    <row r="2889" spans="1:10" ht="15.75" x14ac:dyDescent="0.3">
      <c r="A2889" s="13" t="str">
        <f>HYPERLINK("https://parts-sales.ru/parts/MAN/81517150249","81.51715-0249")</f>
        <v>81.51715-0249</v>
      </c>
      <c r="B2889" s="13" t="str">
        <f>HYPERLINK("https://parts-sales.ru/parts/MAN/81517150249","Держатель")</f>
        <v>Держатель</v>
      </c>
      <c r="C2889" s="5" t="s">
        <v>38</v>
      </c>
      <c r="D2889" s="6">
        <v>10357.200000000001</v>
      </c>
      <c r="E2889" s="6">
        <v>1769</v>
      </c>
      <c r="F2889" s="9">
        <v>0.83</v>
      </c>
      <c r="H2889" s="11"/>
      <c r="I2889" s="11"/>
      <c r="J2889" s="11"/>
    </row>
    <row r="2890" spans="1:10" ht="15.75" x14ac:dyDescent="0.3">
      <c r="A2890" s="12" t="str">
        <f>HYPERLINK("https://parts-sales.ru/parts/MAN/81517150330","81.51715-0330")</f>
        <v>81.51715-0330</v>
      </c>
      <c r="B2890" s="12" t="str">
        <f>HYPERLINK("https://parts-sales.ru/parts/MAN/81517150330","Держатель")</f>
        <v>Держатель</v>
      </c>
      <c r="C2890" s="3" t="s">
        <v>38</v>
      </c>
      <c r="D2890" s="4">
        <v>3603.6</v>
      </c>
      <c r="E2890" s="4">
        <v>484</v>
      </c>
      <c r="F2890" s="8">
        <v>0.87</v>
      </c>
      <c r="H2890" s="11"/>
      <c r="I2890" s="11"/>
      <c r="J2890" s="11"/>
    </row>
    <row r="2891" spans="1:10" ht="15.75" x14ac:dyDescent="0.3">
      <c r="A2891" s="13" t="str">
        <f>HYPERLINK("https://parts-sales.ru/parts/MAN/81517150332","81.51715-0332")</f>
        <v>81.51715-0332</v>
      </c>
      <c r="B2891" s="13" t="str">
        <f>HYPERLINK("https://parts-sales.ru/parts/MAN/81517150332","Держатель")</f>
        <v>Держатель</v>
      </c>
      <c r="C2891" s="5" t="s">
        <v>38</v>
      </c>
      <c r="D2891" s="6">
        <v>2875.2</v>
      </c>
      <c r="E2891" s="6">
        <v>604</v>
      </c>
      <c r="F2891" s="9">
        <v>0.79</v>
      </c>
      <c r="H2891" s="11"/>
      <c r="I2891" s="11"/>
      <c r="J2891" s="11"/>
    </row>
    <row r="2892" spans="1:10" ht="15.75" x14ac:dyDescent="0.3">
      <c r="A2892" s="12" t="str">
        <f>HYPERLINK("https://parts-sales.ru/parts/MAN/81517150596","81.51715-0596")</f>
        <v>81.51715-0596</v>
      </c>
      <c r="B2892" s="12" t="str">
        <f>HYPERLINK("https://parts-sales.ru/parts/MAN/81517150596","Держатель")</f>
        <v>Держатель</v>
      </c>
      <c r="C2892" s="3" t="s">
        <v>38</v>
      </c>
      <c r="D2892" s="4">
        <v>4173.6000000000004</v>
      </c>
      <c r="E2892" s="4">
        <v>50</v>
      </c>
      <c r="F2892" s="8">
        <v>0.99</v>
      </c>
      <c r="H2892" s="11"/>
      <c r="I2892" s="11"/>
      <c r="J2892" s="11"/>
    </row>
    <row r="2893" spans="1:10" ht="15.75" x14ac:dyDescent="0.3">
      <c r="A2893" s="13" t="str">
        <f>HYPERLINK("https://parts-sales.ru/parts/MAN/81517152000","81.51715-2000")</f>
        <v>81.51715-2000</v>
      </c>
      <c r="B2893" s="13" t="str">
        <f>HYPERLINK("https://parts-sales.ru/parts/MAN/81517152000","Держатель")</f>
        <v>Держатель</v>
      </c>
      <c r="C2893" s="5" t="s">
        <v>38</v>
      </c>
      <c r="D2893" s="6">
        <v>775.2</v>
      </c>
      <c r="E2893" s="6">
        <v>183</v>
      </c>
      <c r="F2893" s="9">
        <v>0.76</v>
      </c>
      <c r="H2893" s="11"/>
      <c r="I2893" s="11"/>
      <c r="J2893" s="11"/>
    </row>
    <row r="2894" spans="1:10" ht="15.75" x14ac:dyDescent="0.3">
      <c r="A2894" s="12" t="str">
        <f>HYPERLINK("https://parts-sales.ru/parts/MAN/81517152001","81.51715-2001")</f>
        <v>81.51715-2001</v>
      </c>
      <c r="B2894" s="12" t="str">
        <f>HYPERLINK("https://parts-sales.ru/parts/MAN/81517152001","Держатель")</f>
        <v>Держатель</v>
      </c>
      <c r="C2894" s="3" t="s">
        <v>38</v>
      </c>
      <c r="D2894" s="4">
        <v>897.6</v>
      </c>
      <c r="E2894" s="4">
        <v>183</v>
      </c>
      <c r="F2894" s="8">
        <v>0.8</v>
      </c>
      <c r="H2894" s="11"/>
      <c r="I2894" s="11"/>
      <c r="J2894" s="11"/>
    </row>
    <row r="2895" spans="1:10" ht="15.75" x14ac:dyDescent="0.3">
      <c r="A2895" s="13" t="str">
        <f>HYPERLINK("https://parts-sales.ru/parts/MAN/81517155006","81.51715-5006")</f>
        <v>81.51715-5006</v>
      </c>
      <c r="B2895" s="13" t="str">
        <f>HYPERLINK("https://parts-sales.ru/parts/MAN/81517155006","Плата")</f>
        <v>Плата</v>
      </c>
      <c r="C2895" s="5" t="s">
        <v>38</v>
      </c>
      <c r="D2895" s="6">
        <v>3721.2</v>
      </c>
      <c r="E2895" s="6">
        <v>962</v>
      </c>
      <c r="F2895" s="9">
        <v>0.74</v>
      </c>
      <c r="H2895" s="11"/>
      <c r="I2895" s="11"/>
      <c r="J2895" s="11"/>
    </row>
    <row r="2896" spans="1:10" ht="15.75" x14ac:dyDescent="0.3">
      <c r="A2896" s="12" t="str">
        <f>HYPERLINK("https://parts-sales.ru/parts/MAN/81517155020","81.51715-5020")</f>
        <v>81.51715-5020</v>
      </c>
      <c r="B2896" s="12" t="str">
        <f>HYPERLINK("https://parts-sales.ru/parts/MAN/81517155020","Держатель")</f>
        <v>Держатель</v>
      </c>
      <c r="C2896" s="3" t="s">
        <v>38</v>
      </c>
      <c r="D2896" s="4">
        <v>42692.4</v>
      </c>
      <c r="E2896" s="4">
        <v>4191</v>
      </c>
      <c r="F2896" s="8">
        <v>0.9</v>
      </c>
      <c r="H2896" s="11"/>
      <c r="I2896" s="11"/>
      <c r="J2896" s="11"/>
    </row>
    <row r="2897" spans="1:10" ht="15.75" x14ac:dyDescent="0.3">
      <c r="A2897" s="13" t="str">
        <f>HYPERLINK("https://parts-sales.ru/parts/MAN/81517155056","81.51715-5056")</f>
        <v>81.51715-5056</v>
      </c>
      <c r="B2897" s="13" t="str">
        <f>HYPERLINK("https://parts-sales.ru/parts/MAN/81517155056","Держатель")</f>
        <v>Держатель</v>
      </c>
      <c r="C2897" s="5" t="s">
        <v>38</v>
      </c>
      <c r="D2897" s="6">
        <v>1717.2</v>
      </c>
      <c r="E2897" s="6">
        <v>23</v>
      </c>
      <c r="F2897" s="9">
        <v>0.99</v>
      </c>
      <c r="H2897" s="11"/>
      <c r="I2897" s="11"/>
      <c r="J2897" s="11"/>
    </row>
    <row r="2898" spans="1:10" ht="15.75" x14ac:dyDescent="0.3">
      <c r="A2898" s="12" t="str">
        <f>HYPERLINK("https://parts-sales.ru/parts/MAN/81517155134","81.51715-5134")</f>
        <v>81.51715-5134</v>
      </c>
      <c r="B2898" s="12" t="str">
        <f>HYPERLINK("https://parts-sales.ru/parts/MAN/81517155134","Держатель")</f>
        <v>Держатель</v>
      </c>
      <c r="C2898" s="3" t="s">
        <v>38</v>
      </c>
      <c r="D2898" s="4">
        <v>30009.47</v>
      </c>
      <c r="E2898" s="4">
        <v>13750</v>
      </c>
      <c r="F2898" s="8">
        <v>0.54</v>
      </c>
      <c r="H2898" s="11"/>
      <c r="I2898" s="11"/>
      <c r="J2898" s="11"/>
    </row>
    <row r="2899" spans="1:10" ht="15.75" x14ac:dyDescent="0.3">
      <c r="A2899" s="13" t="str">
        <f>HYPERLINK("https://parts-sales.ru/parts/MAN/81519016006","81.51901-6006")</f>
        <v>81.51901-6006</v>
      </c>
      <c r="B2899" s="13" t="str">
        <f>HYPERLINK("https://parts-sales.ru/parts/MAN/81519016006","Рем. комплект для тормоз.валов Передний")</f>
        <v>Рем. комплект для тормоз.валов Передний</v>
      </c>
      <c r="C2899" s="5" t="s">
        <v>38</v>
      </c>
      <c r="D2899" s="6">
        <v>6864</v>
      </c>
      <c r="E2899" s="6">
        <v>4060</v>
      </c>
      <c r="F2899" s="9">
        <v>0.41</v>
      </c>
      <c r="H2899" s="11"/>
      <c r="I2899" s="11"/>
      <c r="J2899" s="11"/>
    </row>
    <row r="2900" spans="1:10" ht="15.75" x14ac:dyDescent="0.3">
      <c r="A2900" s="12" t="str">
        <f>HYPERLINK("https://parts-sales.ru/parts/MAN/81521016264","81.52101-6264")</f>
        <v>81.52101-6264</v>
      </c>
      <c r="B2900" s="12" t="str">
        <f>HYPERLINK("https://parts-sales.ru/parts/MAN/81521016264","Шумоглушитель")</f>
        <v>Шумоглушитель</v>
      </c>
      <c r="C2900" s="3" t="s">
        <v>38</v>
      </c>
      <c r="D2900" s="4">
        <v>6516</v>
      </c>
      <c r="E2900" s="4">
        <v>2181</v>
      </c>
      <c r="F2900" s="8">
        <v>0.67</v>
      </c>
      <c r="H2900" s="11"/>
      <c r="I2900" s="11"/>
      <c r="J2900" s="11"/>
    </row>
    <row r="2901" spans="1:10" ht="15.75" x14ac:dyDescent="0.3">
      <c r="A2901" s="13" t="str">
        <f>HYPERLINK("https://parts-sales.ru/parts/MAN/81521016279","81.52101-6279")</f>
        <v>81.52101-6279</v>
      </c>
      <c r="B2901" s="13" t="str">
        <f>HYPERLINK("https://parts-sales.ru/parts/MAN/81521016279","Рем компл торм клапана с смазкой")</f>
        <v>Рем компл торм клапана с смазкой</v>
      </c>
      <c r="C2901" s="5" t="s">
        <v>38</v>
      </c>
      <c r="D2901" s="6">
        <v>15170.4</v>
      </c>
      <c r="E2901" s="6">
        <v>3154</v>
      </c>
      <c r="F2901" s="9">
        <v>0.79</v>
      </c>
      <c r="H2901" s="11"/>
      <c r="I2901" s="11"/>
      <c r="J2901" s="11"/>
    </row>
    <row r="2902" spans="1:10" ht="15.75" x14ac:dyDescent="0.3">
      <c r="A2902" s="12" t="str">
        <f>HYPERLINK("https://parts-sales.ru/parts/MAN/81521016283","81.52101-6283")</f>
        <v>81.52101-6283</v>
      </c>
      <c r="B2902" s="12" t="str">
        <f>HYPERLINK("https://parts-sales.ru/parts/MAN/81521016283","Редукционный клапан тормоза 10/7,0+0,3BA")</f>
        <v>Редукционный клапан тормоза 10/7,0+0,3BA</v>
      </c>
      <c r="C2902" s="3" t="s">
        <v>38</v>
      </c>
      <c r="D2902" s="4">
        <v>27324</v>
      </c>
      <c r="E2902" s="4">
        <v>5746</v>
      </c>
      <c r="F2902" s="8">
        <v>0.79</v>
      </c>
      <c r="H2902" s="11"/>
      <c r="I2902" s="11"/>
      <c r="J2902" s="11"/>
    </row>
    <row r="2903" spans="1:10" ht="15.75" x14ac:dyDescent="0.3">
      <c r="A2903" s="13" t="str">
        <f>HYPERLINK("https://parts-sales.ru/parts/MAN/81521016284","81.52101-6284")</f>
        <v>81.52101-6284</v>
      </c>
      <c r="B2903" s="13" t="str">
        <f>HYPERLINK("https://parts-sales.ru/parts/MAN/81521016284","Редукционный клапан тормоза 12/6,5+0,3BA")</f>
        <v>Редукционный клапан тормоза 12/6,5+0,3BA</v>
      </c>
      <c r="C2903" s="5" t="s">
        <v>38</v>
      </c>
      <c r="D2903" s="6">
        <v>27324</v>
      </c>
      <c r="E2903" s="6">
        <v>8725</v>
      </c>
      <c r="F2903" s="9">
        <v>0.68</v>
      </c>
      <c r="H2903" s="11"/>
      <c r="I2903" s="11"/>
      <c r="J2903" s="11"/>
    </row>
    <row r="2904" spans="1:10" ht="15.75" x14ac:dyDescent="0.3">
      <c r="A2904" s="12" t="str">
        <f>HYPERLINK("https://parts-sales.ru/parts/MAN/81521026201","81.52102-6201")</f>
        <v>81.52102-6201</v>
      </c>
      <c r="B2904" s="12" t="str">
        <f>HYPERLINK("https://parts-sales.ru/parts/MAN/81521026201","Уплотнительный комплект")</f>
        <v>Уплотнительный комплект</v>
      </c>
      <c r="C2904" s="3" t="s">
        <v>38</v>
      </c>
      <c r="D2904" s="4">
        <v>6562.8</v>
      </c>
      <c r="E2904" s="4">
        <v>1360</v>
      </c>
      <c r="F2904" s="8">
        <v>0.79</v>
      </c>
      <c r="H2904" s="11"/>
      <c r="I2904" s="11"/>
      <c r="J2904" s="11"/>
    </row>
    <row r="2905" spans="1:10" ht="15.75" x14ac:dyDescent="0.3">
      <c r="A2905" s="13" t="str">
        <f>HYPERLINK("https://parts-sales.ru/parts/MAN/81521026407","81.52102-6407")</f>
        <v>81.52102-6407</v>
      </c>
      <c r="B2905" s="13" t="str">
        <f>HYPERLINK("https://parts-sales.ru/parts/MAN/81521026407","Ремкомпл осушителя возд с смазкой")</f>
        <v>Ремкомпл осушителя возд с смазкой</v>
      </c>
      <c r="C2905" s="5" t="s">
        <v>38</v>
      </c>
      <c r="D2905" s="6">
        <v>45460.800000000003</v>
      </c>
      <c r="E2905" s="6">
        <v>9036</v>
      </c>
      <c r="F2905" s="9">
        <v>0.8</v>
      </c>
      <c r="H2905" s="11"/>
      <c r="I2905" s="11"/>
      <c r="J2905" s="11"/>
    </row>
    <row r="2906" spans="1:10" ht="15.75" x14ac:dyDescent="0.3">
      <c r="A2906" s="12" t="str">
        <f>HYPERLINK("https://parts-sales.ru/parts/MAN/81521086017","81.52108-6017")</f>
        <v>81.52108-6017</v>
      </c>
      <c r="B2906" s="12" t="str">
        <f>HYPERLINK("https://parts-sales.ru/parts/MAN/81521086017","Ремонтный комплект ECAM")</f>
        <v>Ремонтный комплект ECAM</v>
      </c>
      <c r="C2906" s="3" t="s">
        <v>38</v>
      </c>
      <c r="D2906" s="4">
        <v>13308</v>
      </c>
      <c r="E2906" s="4">
        <v>2931</v>
      </c>
      <c r="F2906" s="8">
        <v>0.78</v>
      </c>
      <c r="H2906" s="11"/>
      <c r="I2906" s="11"/>
      <c r="J2906" s="11"/>
    </row>
    <row r="2907" spans="1:10" ht="15.75" x14ac:dyDescent="0.3">
      <c r="A2907" s="13" t="str">
        <f>HYPERLINK("https://parts-sales.ru/parts/MAN/81521200032","81.52120-0032")</f>
        <v>81.52120-0032</v>
      </c>
      <c r="B2907" s="13" t="str">
        <f>HYPERLINK("https://parts-sales.ru/parts/MAN/81521200032","Проходной клапан")</f>
        <v>Проходной клапан</v>
      </c>
      <c r="C2907" s="5" t="s">
        <v>38</v>
      </c>
      <c r="D2907" s="6">
        <v>3597.6</v>
      </c>
      <c r="E2907" s="6">
        <v>824</v>
      </c>
      <c r="F2907" s="9">
        <v>0.77</v>
      </c>
      <c r="H2907" s="11"/>
      <c r="I2907" s="11"/>
      <c r="J2907" s="11"/>
    </row>
    <row r="2908" spans="1:10" ht="15.75" x14ac:dyDescent="0.3">
      <c r="A2908" s="12" t="str">
        <f>HYPERLINK("https://parts-sales.ru/parts/MAN/81521206004","81.52120-6004")</f>
        <v>81.52120-6004</v>
      </c>
      <c r="B2908" s="12" t="str">
        <f>HYPERLINK("https://parts-sales.ru/parts/MAN/81521206004","Обратный клапан тормоза")</f>
        <v>Обратный клапан тормоза</v>
      </c>
      <c r="C2908" s="3" t="s">
        <v>38</v>
      </c>
      <c r="D2908" s="4">
        <v>5947.2</v>
      </c>
      <c r="E2908" s="4">
        <v>2254</v>
      </c>
      <c r="F2908" s="8">
        <v>0.62</v>
      </c>
      <c r="H2908" s="11"/>
      <c r="I2908" s="11"/>
      <c r="J2908" s="11"/>
    </row>
    <row r="2909" spans="1:10" ht="15.75" x14ac:dyDescent="0.3">
      <c r="A2909" s="13" t="str">
        <f>HYPERLINK("https://parts-sales.ru/parts/MAN/81521606189","81.52160-6189")</f>
        <v>81.52160-6189</v>
      </c>
      <c r="B2909" s="13" t="str">
        <f>HYPERLINK("https://parts-sales.ru/parts/MAN/81521606189","Магнитный клапан Вентиляция")</f>
        <v>Магнитный клапан Вентиляция</v>
      </c>
      <c r="C2909" s="5" t="s">
        <v>38</v>
      </c>
      <c r="D2909" s="6">
        <v>8302.7999999999993</v>
      </c>
      <c r="E2909" s="6">
        <v>4088</v>
      </c>
      <c r="F2909" s="9">
        <v>0.51</v>
      </c>
      <c r="H2909" s="11"/>
      <c r="I2909" s="11"/>
      <c r="J2909" s="11"/>
    </row>
    <row r="2910" spans="1:10" ht="15.75" x14ac:dyDescent="0.3">
      <c r="A2910" s="12" t="str">
        <f>HYPERLINK("https://parts-sales.ru/parts/MAN/81523019189","81.52301-9189")</f>
        <v>81.52301-9189</v>
      </c>
      <c r="B2910" s="12" t="str">
        <f>HYPERLINK("https://parts-sales.ru/parts/MAN/81523019189","Клапан управления прицепом")</f>
        <v>Клапан управления прицепом</v>
      </c>
      <c r="C2910" s="3" t="s">
        <v>38</v>
      </c>
      <c r="D2910" s="4">
        <v>65538</v>
      </c>
      <c r="E2910" s="4">
        <v>13905</v>
      </c>
      <c r="F2910" s="8">
        <v>0.79</v>
      </c>
      <c r="H2910" s="11"/>
      <c r="I2910" s="11"/>
      <c r="J2910" s="11"/>
    </row>
    <row r="2911" spans="1:10" ht="15.75" x14ac:dyDescent="0.3">
      <c r="A2911" s="13" t="str">
        <f>HYPERLINK("https://parts-sales.ru/parts/MAN/81523156205","81.52315-6205")</f>
        <v>81.52315-6205</v>
      </c>
      <c r="B2911" s="13" t="str">
        <f>HYPERLINK("https://parts-sales.ru/parts/MAN/81523156205","Рем компл торм клапана")</f>
        <v>Рем компл торм клапана</v>
      </c>
      <c r="C2911" s="5" t="s">
        <v>38</v>
      </c>
      <c r="D2911" s="6">
        <v>5385.6</v>
      </c>
      <c r="E2911" s="6">
        <v>1140</v>
      </c>
      <c r="F2911" s="9">
        <v>0.79</v>
      </c>
      <c r="H2911" s="11"/>
      <c r="I2911" s="11"/>
      <c r="J2911" s="11"/>
    </row>
    <row r="2912" spans="1:10" ht="15.75" x14ac:dyDescent="0.3">
      <c r="A2912" s="12" t="str">
        <f>HYPERLINK("https://parts-sales.ru/parts/MAN/81523400864","81.52340-0864")</f>
        <v>81.52340-0864</v>
      </c>
      <c r="B2912" s="12" t="str">
        <f>HYPERLINK("https://parts-sales.ru/parts/MAN/81523400864","Держатель Клапан управления прицепом")</f>
        <v>Держатель Клапан управления прицепом</v>
      </c>
      <c r="C2912" s="3" t="s">
        <v>38</v>
      </c>
      <c r="D2912" s="4">
        <v>15158.4</v>
      </c>
      <c r="E2912" s="4">
        <v>3073</v>
      </c>
      <c r="F2912" s="8">
        <v>0.8</v>
      </c>
      <c r="H2912" s="11"/>
      <c r="I2912" s="11"/>
      <c r="J2912" s="11"/>
    </row>
    <row r="2913" spans="1:10" ht="15.75" x14ac:dyDescent="0.3">
      <c r="A2913" s="13" t="str">
        <f>HYPERLINK("https://parts-sales.ru/parts/MAN/81524036005","81.52403-6005")</f>
        <v>81.52403-6005</v>
      </c>
      <c r="B2913" s="13" t="str">
        <f>HYPERLINK("https://parts-sales.ru/parts/MAN/81524036005","Радиальное уплотнение вала 95X116,5X11WD")</f>
        <v>Радиальное уплотнение вала 95X116,5X11WD</v>
      </c>
      <c r="C2913" s="5" t="s">
        <v>38</v>
      </c>
      <c r="D2913" s="6">
        <v>14660.4</v>
      </c>
      <c r="E2913" s="6">
        <v>2102</v>
      </c>
      <c r="F2913" s="9">
        <v>0.86</v>
      </c>
      <c r="H2913" s="11"/>
      <c r="I2913" s="11"/>
      <c r="J2913" s="11"/>
    </row>
    <row r="2914" spans="1:10" ht="15.75" x14ac:dyDescent="0.3">
      <c r="A2914" s="12" t="str">
        <f>HYPERLINK("https://parts-sales.ru/parts/MAN/81541016056","81.54101-6056")</f>
        <v>81.54101-6056</v>
      </c>
      <c r="B2914" s="12" t="str">
        <f>HYPERLINK("https://parts-sales.ru/parts/MAN/81541016056","Рем компл возд компр")</f>
        <v>Рем компл возд компр</v>
      </c>
      <c r="C2914" s="3" t="s">
        <v>38</v>
      </c>
      <c r="D2914" s="4">
        <v>72061.58</v>
      </c>
      <c r="E2914" s="4">
        <v>47169</v>
      </c>
      <c r="F2914" s="8">
        <v>0.35</v>
      </c>
      <c r="H2914" s="11"/>
      <c r="I2914" s="11"/>
      <c r="J2914" s="11"/>
    </row>
    <row r="2915" spans="1:10" ht="15.75" x14ac:dyDescent="0.3">
      <c r="A2915" s="13" t="str">
        <f>HYPERLINK("https://parts-sales.ru/parts/MAN/81541016057","81.54101-6057")</f>
        <v>81.54101-6057</v>
      </c>
      <c r="B2915" s="13" t="str">
        <f>HYPERLINK("https://parts-sales.ru/parts/MAN/81541016057","Рем компл возд компр")</f>
        <v>Рем компл возд компр</v>
      </c>
      <c r="C2915" s="5" t="s">
        <v>38</v>
      </c>
      <c r="D2915" s="6">
        <v>39564.449999999997</v>
      </c>
      <c r="E2915" s="6">
        <v>16555</v>
      </c>
      <c r="F2915" s="9">
        <v>0.57999999999999996</v>
      </c>
      <c r="H2915" s="11"/>
      <c r="I2915" s="11"/>
      <c r="J2915" s="11"/>
    </row>
    <row r="2916" spans="1:10" ht="15.75" x14ac:dyDescent="0.3">
      <c r="A2916" s="12" t="str">
        <f>HYPERLINK("https://parts-sales.ru/parts/MAN/81541146051","81.54114-6051")</f>
        <v>81.54114-6051</v>
      </c>
      <c r="B2916" s="12" t="str">
        <f>HYPERLINK("https://parts-sales.ru/parts/MAN/81541146051","Рем компл возд компр")</f>
        <v>Рем компл возд компр</v>
      </c>
      <c r="C2916" s="3" t="s">
        <v>38</v>
      </c>
      <c r="D2916" s="4">
        <v>111613.2</v>
      </c>
      <c r="E2916" s="4">
        <v>20385</v>
      </c>
      <c r="F2916" s="8">
        <v>0.82</v>
      </c>
      <c r="H2916" s="11"/>
      <c r="I2916" s="11"/>
      <c r="J2916" s="11"/>
    </row>
    <row r="2917" spans="1:10" ht="15.75" x14ac:dyDescent="0.3">
      <c r="A2917" s="13" t="str">
        <f>HYPERLINK("https://parts-sales.ru/parts/MAN/81541196040","81.54119-6040")</f>
        <v>81.54119-6040</v>
      </c>
      <c r="B2917" s="13" t="str">
        <f>HYPERLINK("https://parts-sales.ru/parts/MAN/81541196040","Поршень компрессора")</f>
        <v>Поршень компрессора</v>
      </c>
      <c r="C2917" s="5" t="s">
        <v>38</v>
      </c>
      <c r="D2917" s="6">
        <v>22926.74</v>
      </c>
      <c r="E2917" s="6">
        <v>10699</v>
      </c>
      <c r="F2917" s="9">
        <v>0.53</v>
      </c>
      <c r="H2917" s="11"/>
      <c r="I2917" s="11"/>
      <c r="J2917" s="11"/>
    </row>
    <row r="2918" spans="1:10" ht="15.75" x14ac:dyDescent="0.3">
      <c r="A2918" s="12" t="str">
        <f>HYPERLINK("https://parts-sales.ru/parts/MAN/81541246029","81.54124-6029")</f>
        <v>81.54124-6029</v>
      </c>
      <c r="B2918" s="12" t="str">
        <f>HYPERLINK("https://parts-sales.ru/parts/MAN/81541246029","Пластинчатый клапан")</f>
        <v>Пластинчатый клапан</v>
      </c>
      <c r="C2918" s="3" t="s">
        <v>38</v>
      </c>
      <c r="D2918" s="4">
        <v>78915.789999999994</v>
      </c>
      <c r="E2918" s="4">
        <v>36158</v>
      </c>
      <c r="F2918" s="8">
        <v>0.54</v>
      </c>
      <c r="H2918" s="11"/>
      <c r="I2918" s="11"/>
      <c r="J2918" s="11"/>
    </row>
    <row r="2919" spans="1:10" ht="15.75" x14ac:dyDescent="0.3">
      <c r="A2919" s="13" t="str">
        <f>HYPERLINK("https://parts-sales.ru/parts/MAN/81541246032","81.54124-6032")</f>
        <v>81.54124-6032</v>
      </c>
      <c r="B2919" s="13" t="str">
        <f>HYPERLINK("https://parts-sales.ru/parts/MAN/81541246032","Рем компл возд компр")</f>
        <v>Рем компл возд компр</v>
      </c>
      <c r="C2919" s="5" t="s">
        <v>38</v>
      </c>
      <c r="D2919" s="6">
        <v>34899.599999999999</v>
      </c>
      <c r="E2919" s="6">
        <v>7028</v>
      </c>
      <c r="F2919" s="9">
        <v>0.8</v>
      </c>
      <c r="H2919" s="11"/>
      <c r="I2919" s="11"/>
      <c r="J2919" s="11"/>
    </row>
    <row r="2920" spans="1:10" ht="15.75" x14ac:dyDescent="0.3">
      <c r="A2920" s="12" t="str">
        <f>HYPERLINK("https://parts-sales.ru/parts/MAN/81552016000","81.55201-6000")</f>
        <v>81.55201-6000</v>
      </c>
      <c r="B2920" s="12" t="str">
        <f>HYPERLINK("https://parts-sales.ru/parts/MAN/81552016000","Уплотнительный комплект")</f>
        <v>Уплотнительный комплект</v>
      </c>
      <c r="C2920" s="3" t="s">
        <v>38</v>
      </c>
      <c r="D2920" s="4">
        <v>30644.55</v>
      </c>
      <c r="E2920" s="4">
        <v>14236</v>
      </c>
      <c r="F2920" s="8">
        <v>0.54</v>
      </c>
      <c r="H2920" s="11"/>
      <c r="I2920" s="11"/>
      <c r="J2920" s="11"/>
    </row>
    <row r="2921" spans="1:10" ht="15.75" x14ac:dyDescent="0.3">
      <c r="A2921" s="13" t="str">
        <f>HYPERLINK("https://parts-sales.ru/parts/MAN/81552020019","81.55202-0019")</f>
        <v>81.55202-0019</v>
      </c>
      <c r="B2921" s="13" t="str">
        <f>HYPERLINK("https://parts-sales.ru/parts/MAN/81552020019","Вал шестерни")</f>
        <v>Вал шестерни</v>
      </c>
      <c r="C2921" s="5" t="s">
        <v>38</v>
      </c>
      <c r="D2921" s="6">
        <v>101940</v>
      </c>
      <c r="E2921" s="6">
        <v>31055</v>
      </c>
      <c r="F2921" s="9">
        <v>0.7</v>
      </c>
      <c r="H2921" s="11"/>
      <c r="I2921" s="11"/>
      <c r="J2921" s="11"/>
    </row>
    <row r="2922" spans="1:10" ht="15.75" x14ac:dyDescent="0.3">
      <c r="A2922" s="12" t="str">
        <f>HYPERLINK("https://parts-sales.ru/parts/MAN/81552080023","81.55208-0023")</f>
        <v>81.55208-0023</v>
      </c>
      <c r="B2922" s="12" t="str">
        <f>HYPERLINK("https://parts-sales.ru/parts/MAN/81552080023","Уплотнение")</f>
        <v>Уплотнение</v>
      </c>
      <c r="C2922" s="3" t="s">
        <v>38</v>
      </c>
      <c r="D2922" s="4">
        <v>8491.2000000000007</v>
      </c>
      <c r="E2922" s="4">
        <v>2250</v>
      </c>
      <c r="F2922" s="8">
        <v>0.74</v>
      </c>
      <c r="H2922" s="11"/>
      <c r="I2922" s="11"/>
      <c r="J2922" s="11"/>
    </row>
    <row r="2923" spans="1:10" ht="15.75" x14ac:dyDescent="0.3">
      <c r="A2923" s="13" t="str">
        <f>HYPERLINK("https://parts-sales.ru/parts/MAN/81552080024","81.55208-0024")</f>
        <v>81.55208-0024</v>
      </c>
      <c r="B2923" s="13" t="str">
        <f>HYPERLINK("https://parts-sales.ru/parts/MAN/81552080024","Уплотнение")</f>
        <v>Уплотнение</v>
      </c>
      <c r="C2923" s="5" t="s">
        <v>38</v>
      </c>
      <c r="D2923" s="6">
        <v>7880.4</v>
      </c>
      <c r="E2923" s="6">
        <v>1992</v>
      </c>
      <c r="F2923" s="9">
        <v>0.75</v>
      </c>
      <c r="H2923" s="11"/>
      <c r="I2923" s="11"/>
      <c r="J2923" s="11"/>
    </row>
    <row r="2924" spans="1:10" ht="15.75" x14ac:dyDescent="0.3">
      <c r="A2924" s="12" t="str">
        <f>HYPERLINK("https://parts-sales.ru/parts/MAN/81552086003","81.55208-6003")</f>
        <v>81.55208-6003</v>
      </c>
      <c r="B2924" s="12" t="str">
        <f>HYPERLINK("https://parts-sales.ru/parts/MAN/81552086003","Уплотнительный комплект")</f>
        <v>Уплотнительный комплект</v>
      </c>
      <c r="C2924" s="3" t="s">
        <v>38</v>
      </c>
      <c r="D2924" s="4">
        <v>23568</v>
      </c>
      <c r="E2924" s="4">
        <v>9686</v>
      </c>
      <c r="F2924" s="8">
        <v>0.59</v>
      </c>
      <c r="H2924" s="11"/>
      <c r="I2924" s="11"/>
      <c r="J2924" s="11"/>
    </row>
    <row r="2925" spans="1:10" ht="15.75" x14ac:dyDescent="0.3">
      <c r="A2925" s="13" t="str">
        <f>HYPERLINK("https://parts-sales.ru/parts/MAN/81552100011","81.55210-0011")</f>
        <v>81.55210-0011</v>
      </c>
      <c r="B2925" s="13" t="str">
        <f>HYPERLINK("https://parts-sales.ru/parts/MAN/81552100011","Поршень включающего цилиндра")</f>
        <v>Поршень включающего цилиндра</v>
      </c>
      <c r="C2925" s="5" t="s">
        <v>38</v>
      </c>
      <c r="D2925" s="6">
        <v>656.4</v>
      </c>
      <c r="E2925" s="6">
        <v>179</v>
      </c>
      <c r="F2925" s="9">
        <v>0.73</v>
      </c>
      <c r="H2925" s="11"/>
      <c r="I2925" s="11"/>
      <c r="J2925" s="11"/>
    </row>
    <row r="2926" spans="1:10" ht="15.75" x14ac:dyDescent="0.3">
      <c r="A2926" s="12" t="str">
        <f>HYPERLINK("https://parts-sales.ru/parts/MAN/81552106009","81.55210-6009")</f>
        <v>81.55210-6009</v>
      </c>
      <c r="B2926" s="12" t="str">
        <f>HYPERLINK("https://parts-sales.ru/parts/MAN/81552106009","Поршень включающего цилиндра")</f>
        <v>Поршень включающего цилиндра</v>
      </c>
      <c r="C2926" s="3" t="s">
        <v>38</v>
      </c>
      <c r="D2926" s="4">
        <v>4890</v>
      </c>
      <c r="E2926" s="4">
        <v>1705</v>
      </c>
      <c r="F2926" s="8">
        <v>0.65</v>
      </c>
      <c r="H2926" s="11"/>
      <c r="I2926" s="11"/>
      <c r="J2926" s="11"/>
    </row>
    <row r="2927" spans="1:10" ht="15.75" x14ac:dyDescent="0.3">
      <c r="A2927" s="13" t="str">
        <f>HYPERLINK("https://parts-sales.ru/parts/MAN/81611100103","81.61110-0103")</f>
        <v>81.61110-0103</v>
      </c>
      <c r="B2927" s="13" t="str">
        <f>HYPERLINK("https://parts-sales.ru/parts/MAN/81611100103","Зажимная планка")</f>
        <v>Зажимная планка</v>
      </c>
      <c r="C2927" s="5" t="s">
        <v>15</v>
      </c>
      <c r="D2927" s="6">
        <v>1504.8</v>
      </c>
      <c r="E2927" s="6">
        <v>543</v>
      </c>
      <c r="F2927" s="9">
        <v>0.64</v>
      </c>
      <c r="H2927" s="11"/>
      <c r="I2927" s="11"/>
      <c r="J2927" s="11"/>
    </row>
    <row r="2928" spans="1:10" ht="15.75" x14ac:dyDescent="0.3">
      <c r="A2928" s="12" t="str">
        <f>HYPERLINK("https://parts-sales.ru/parts/MAN/81611106122","81.61110-6122")</f>
        <v>81.61110-6122</v>
      </c>
      <c r="B2928" s="12" t="str">
        <f>HYPERLINK("https://parts-sales.ru/parts/MAN/81611106122","Капот F99 L/R17,34,39")</f>
        <v>Капот F99 L/R17,34,39</v>
      </c>
      <c r="C2928" s="3" t="s">
        <v>15</v>
      </c>
      <c r="D2928" s="4">
        <v>180602.4</v>
      </c>
      <c r="E2928" s="4">
        <v>90819</v>
      </c>
      <c r="F2928" s="8">
        <v>0.5</v>
      </c>
      <c r="H2928" s="11"/>
      <c r="I2928" s="11"/>
      <c r="J2928" s="11"/>
    </row>
    <row r="2929" spans="1:10" ht="15.75" x14ac:dyDescent="0.3">
      <c r="A2929" s="13" t="str">
        <f>HYPERLINK("https://parts-sales.ru/parts/MAN/81611400031","81.61140-0031")</f>
        <v>81.61140-0031</v>
      </c>
      <c r="B2929" s="13" t="str">
        <f>HYPERLINK("https://parts-sales.ru/parts/MAN/81611400031","Кожух")</f>
        <v>Кожух</v>
      </c>
      <c r="C2929" s="5" t="s">
        <v>15</v>
      </c>
      <c r="D2929" s="6">
        <v>1095.5999999999999</v>
      </c>
      <c r="E2929" s="6">
        <v>220</v>
      </c>
      <c r="F2929" s="9">
        <v>0.8</v>
      </c>
      <c r="H2929" s="11"/>
      <c r="I2929" s="11"/>
      <c r="J2929" s="11"/>
    </row>
    <row r="2930" spans="1:10" ht="15.75" x14ac:dyDescent="0.3">
      <c r="A2930" s="12" t="str">
        <f>HYPERLINK("https://parts-sales.ru/parts/MAN/81611400043","81.61140-0043")</f>
        <v>81.61140-0043</v>
      </c>
      <c r="B2930" s="12" t="str">
        <f>HYPERLINK("https://parts-sales.ru/parts/MAN/81611400043","Упорный буфер")</f>
        <v>Упорный буфер</v>
      </c>
      <c r="C2930" s="3" t="s">
        <v>15</v>
      </c>
      <c r="D2930" s="4">
        <v>939.6</v>
      </c>
      <c r="E2930" s="4">
        <v>211</v>
      </c>
      <c r="F2930" s="8">
        <v>0.78</v>
      </c>
      <c r="H2930" s="11"/>
      <c r="I2930" s="11"/>
      <c r="J2930" s="11"/>
    </row>
    <row r="2931" spans="1:10" ht="15.75" x14ac:dyDescent="0.3">
      <c r="A2931" s="13" t="str">
        <f>HYPERLINK("https://parts-sales.ru/parts/MAN/81611400047","81.61140-0047")</f>
        <v>81.61140-0047</v>
      </c>
      <c r="B2931" s="13" t="str">
        <f>HYPERLINK("https://parts-sales.ru/parts/MAN/81611400047","Кожух")</f>
        <v>Кожух</v>
      </c>
      <c r="C2931" s="5" t="s">
        <v>15</v>
      </c>
      <c r="D2931" s="6">
        <v>314.39999999999998</v>
      </c>
      <c r="E2931" s="6">
        <v>61</v>
      </c>
      <c r="F2931" s="9">
        <v>0.81</v>
      </c>
      <c r="H2931" s="11"/>
      <c r="I2931" s="11"/>
      <c r="J2931" s="11"/>
    </row>
    <row r="2932" spans="1:10" ht="15.75" x14ac:dyDescent="0.3">
      <c r="A2932" s="12" t="str">
        <f>HYPERLINK("https://parts-sales.ru/parts/MAN/81611400059","81.61140-0059")</f>
        <v>81.61140-0059</v>
      </c>
      <c r="B2932" s="12" t="str">
        <f>HYPERLINK("https://parts-sales.ru/parts/MAN/81611400059","Упорный буфер")</f>
        <v>Упорный буфер</v>
      </c>
      <c r="C2932" s="3" t="s">
        <v>15</v>
      </c>
      <c r="D2932" s="4">
        <v>2406</v>
      </c>
      <c r="E2932" s="4">
        <v>642</v>
      </c>
      <c r="F2932" s="8">
        <v>0.73</v>
      </c>
      <c r="H2932" s="11"/>
      <c r="I2932" s="11"/>
      <c r="J2932" s="11"/>
    </row>
    <row r="2933" spans="1:10" ht="15.75" x14ac:dyDescent="0.3">
      <c r="A2933" s="13" t="str">
        <f>HYPERLINK("https://parts-sales.ru/parts/MAN/81611405022","81.61140-5022")</f>
        <v>81.61140-5022</v>
      </c>
      <c r="B2933" s="13" t="str">
        <f>HYPERLINK("https://parts-sales.ru/parts/MAN/81611405022","Держатель")</f>
        <v>Держатель</v>
      </c>
      <c r="C2933" s="5" t="s">
        <v>15</v>
      </c>
      <c r="D2933" s="6">
        <v>3603.6</v>
      </c>
      <c r="E2933" s="6">
        <v>1271</v>
      </c>
      <c r="F2933" s="9">
        <v>0.65</v>
      </c>
      <c r="H2933" s="11"/>
      <c r="I2933" s="11"/>
      <c r="J2933" s="11"/>
    </row>
    <row r="2934" spans="1:10" ht="15.75" x14ac:dyDescent="0.3">
      <c r="A2934" s="12" t="str">
        <f>HYPERLINK("https://parts-sales.ru/parts/MAN/81611410008","81.61141-0008")</f>
        <v>81.61141-0008</v>
      </c>
      <c r="B2934" s="12" t="str">
        <f>HYPERLINK("https://parts-sales.ru/parts/MAN/81611410008","Уплотнение")</f>
        <v>Уплотнение</v>
      </c>
      <c r="C2934" s="3" t="s">
        <v>15</v>
      </c>
      <c r="D2934" s="4">
        <v>1434.53</v>
      </c>
      <c r="E2934" s="4">
        <v>864</v>
      </c>
      <c r="F2934" s="8">
        <v>0.4</v>
      </c>
      <c r="H2934" s="11"/>
      <c r="I2934" s="11"/>
      <c r="J2934" s="11"/>
    </row>
    <row r="2935" spans="1:10" ht="15.75" x14ac:dyDescent="0.3">
      <c r="A2935" s="13" t="str">
        <f>HYPERLINK("https://parts-sales.ru/parts/MAN/81611506121","81.61150-6121")</f>
        <v>81.61150-6121</v>
      </c>
      <c r="B2935" s="13" t="str">
        <f>HYPERLINK("https://parts-sales.ru/parts/MAN/81611506121","Декоративная кромка F99 10/12/57/58")</f>
        <v>Декоративная кромка F99 10/12/57/58</v>
      </c>
      <c r="C2935" s="5" t="s">
        <v>15</v>
      </c>
      <c r="D2935" s="6">
        <v>69940.800000000003</v>
      </c>
      <c r="E2935" s="6">
        <v>28689</v>
      </c>
      <c r="F2935" s="9">
        <v>0.59</v>
      </c>
      <c r="H2935" s="11"/>
      <c r="I2935" s="11"/>
      <c r="J2935" s="11"/>
    </row>
    <row r="2936" spans="1:10" ht="15.75" x14ac:dyDescent="0.3">
      <c r="A2936" s="12" t="str">
        <f>HYPERLINK("https://parts-sales.ru/parts/MAN/81611506151","81.61150-6151")</f>
        <v>81.61150-6151</v>
      </c>
      <c r="B2936" s="12" t="str">
        <f>HYPERLINK("https://parts-sales.ru/parts/MAN/81611506151","Заслонка узкий")</f>
        <v>Заслонка узкий</v>
      </c>
      <c r="C2936" s="3" t="s">
        <v>15</v>
      </c>
      <c r="D2936" s="4">
        <v>13225.2</v>
      </c>
      <c r="E2936" s="4">
        <v>3483</v>
      </c>
      <c r="F2936" s="8">
        <v>0.74</v>
      </c>
      <c r="H2936" s="11"/>
      <c r="I2936" s="11"/>
      <c r="J2936" s="11"/>
    </row>
    <row r="2937" spans="1:10" ht="15.75" x14ac:dyDescent="0.3">
      <c r="A2937" s="13" t="str">
        <f>HYPERLINK("https://parts-sales.ru/parts/MAN/81612100440","81.61210-0440")</f>
        <v>81.61210-0440</v>
      </c>
      <c r="B2937" s="13" t="str">
        <f>HYPERLINK("https://parts-sales.ru/parts/MAN/81612100440","Козырек крыла")</f>
        <v>Козырек крыла</v>
      </c>
      <c r="C2937" s="5" t="s">
        <v>15</v>
      </c>
      <c r="D2937" s="6">
        <v>41280</v>
      </c>
      <c r="E2937" s="6">
        <v>13498</v>
      </c>
      <c r="F2937" s="9">
        <v>0.67</v>
      </c>
      <c r="H2937" s="11"/>
      <c r="I2937" s="11"/>
      <c r="J2937" s="11"/>
    </row>
    <row r="2938" spans="1:10" ht="15.75" x14ac:dyDescent="0.3">
      <c r="A2938" s="12" t="str">
        <f>HYPERLINK("https://parts-sales.ru/parts/MAN/81612100497","81.61210-0497")</f>
        <v>81.61210-0497</v>
      </c>
      <c r="B2938" s="12" t="str">
        <f>HYPERLINK("https://parts-sales.ru/parts/MAN/81612100497","Удлинение крыльев")</f>
        <v>Удлинение крыльев</v>
      </c>
      <c r="C2938" s="3" t="s">
        <v>15</v>
      </c>
      <c r="D2938" s="4">
        <v>32258.400000000001</v>
      </c>
      <c r="E2938" s="4">
        <v>7911</v>
      </c>
      <c r="F2938" s="8">
        <v>0.75</v>
      </c>
      <c r="H2938" s="11"/>
      <c r="I2938" s="11"/>
      <c r="J2938" s="11"/>
    </row>
    <row r="2939" spans="1:10" ht="15.75" x14ac:dyDescent="0.3">
      <c r="A2939" s="13" t="str">
        <f>HYPERLINK("https://parts-sales.ru/parts/MAN/81612100606","81.61210-0606")</f>
        <v>81.61210-0606</v>
      </c>
      <c r="B2939" s="13" t="str">
        <f>HYPERLINK("https://parts-sales.ru/parts/MAN/81612100606","Удлинение крыльев L/R17")</f>
        <v>Удлинение крыльев L/R17</v>
      </c>
      <c r="C2939" s="5" t="s">
        <v>15</v>
      </c>
      <c r="D2939" s="6">
        <v>31340.400000000001</v>
      </c>
      <c r="E2939" s="6">
        <v>13708</v>
      </c>
      <c r="F2939" s="9">
        <v>0.56000000000000005</v>
      </c>
      <c r="H2939" s="11"/>
      <c r="I2939" s="11"/>
      <c r="J2939" s="11"/>
    </row>
    <row r="2940" spans="1:10" ht="15.75" x14ac:dyDescent="0.3">
      <c r="A2940" s="12" t="str">
        <f>HYPERLINK("https://parts-sales.ru/parts/MAN/81612100607","81.61210-0607")</f>
        <v>81.61210-0607</v>
      </c>
      <c r="B2940" s="12" t="str">
        <f>HYPERLINK("https://parts-sales.ru/parts/MAN/81612100607","Удлинение крыльев L/R17")</f>
        <v>Удлинение крыльев L/R17</v>
      </c>
      <c r="C2940" s="3" t="s">
        <v>15</v>
      </c>
      <c r="D2940" s="4">
        <v>44946.5</v>
      </c>
      <c r="E2940" s="4">
        <v>29975</v>
      </c>
      <c r="F2940" s="8">
        <v>0.33</v>
      </c>
      <c r="H2940" s="11"/>
      <c r="I2940" s="11"/>
      <c r="J2940" s="11"/>
    </row>
    <row r="2941" spans="1:10" ht="15.75" x14ac:dyDescent="0.3">
      <c r="A2941" s="13" t="str">
        <f>HYPERLINK("https://parts-sales.ru/parts/MAN/81612100673","81.61210-0673")</f>
        <v>81.61210-0673</v>
      </c>
      <c r="B2941" s="13" t="str">
        <f>HYPERLINK("https://parts-sales.ru/parts/MAN/81612100673","Крыло малая колёсная арка")</f>
        <v>Крыло малая колёсная арка</v>
      </c>
      <c r="C2941" s="5" t="s">
        <v>15</v>
      </c>
      <c r="D2941" s="6">
        <v>52674</v>
      </c>
      <c r="E2941" s="6">
        <v>10892</v>
      </c>
      <c r="F2941" s="9">
        <v>0.79</v>
      </c>
      <c r="H2941" s="11"/>
      <c r="I2941" s="11"/>
      <c r="J2941" s="11"/>
    </row>
    <row r="2942" spans="1:10" ht="15.75" x14ac:dyDescent="0.3">
      <c r="A2942" s="12" t="str">
        <f>HYPERLINK("https://parts-sales.ru/parts/MAN/81612100679","81.61210-0679")</f>
        <v>81.61210-0679</v>
      </c>
      <c r="B2942" s="12" t="str">
        <f>HYPERLINK("https://parts-sales.ru/parts/MAN/81612100679","Крыло L/R15-39")</f>
        <v>Крыло L/R15-39</v>
      </c>
      <c r="C2942" s="3" t="s">
        <v>15</v>
      </c>
      <c r="D2942" s="4">
        <v>46478.400000000001</v>
      </c>
      <c r="E2942" s="4">
        <v>9901</v>
      </c>
      <c r="F2942" s="8">
        <v>0.79</v>
      </c>
      <c r="H2942" s="11"/>
      <c r="I2942" s="11"/>
      <c r="J2942" s="11"/>
    </row>
    <row r="2943" spans="1:10" ht="15.75" x14ac:dyDescent="0.3">
      <c r="A2943" s="13" t="str">
        <f>HYPERLINK("https://parts-sales.ru/parts/MAN/81612100680","81.61210-0680")</f>
        <v>81.61210-0680</v>
      </c>
      <c r="B2943" s="13" t="str">
        <f>HYPERLINK("https://parts-sales.ru/parts/MAN/81612100680","Крыло L/R15-39")</f>
        <v>Крыло L/R15-39</v>
      </c>
      <c r="C2943" s="5" t="s">
        <v>15</v>
      </c>
      <c r="D2943" s="6">
        <v>46478.400000000001</v>
      </c>
      <c r="E2943" s="6">
        <v>11105</v>
      </c>
      <c r="F2943" s="9">
        <v>0.76</v>
      </c>
      <c r="H2943" s="11"/>
      <c r="I2943" s="11"/>
      <c r="J2943" s="11"/>
    </row>
    <row r="2944" spans="1:10" ht="15.75" x14ac:dyDescent="0.3">
      <c r="A2944" s="12" t="str">
        <f>HYPERLINK("https://parts-sales.ru/parts/MAN/81612100935","81.61210-0935")</f>
        <v>81.61210-0935</v>
      </c>
      <c r="B2944" s="12" t="str">
        <f>HYPERLINK("https://parts-sales.ru/parts/MAN/81612100935","Удлинение крыльев")</f>
        <v>Удлинение крыльев</v>
      </c>
      <c r="C2944" s="3" t="s">
        <v>15</v>
      </c>
      <c r="D2944" s="4">
        <v>44721.599999999999</v>
      </c>
      <c r="E2944" s="4">
        <v>6290</v>
      </c>
      <c r="F2944" s="8">
        <v>0.86</v>
      </c>
      <c r="H2944" s="11"/>
      <c r="I2944" s="11"/>
      <c r="J2944" s="11"/>
    </row>
    <row r="2945" spans="1:10" ht="15.75" x14ac:dyDescent="0.3">
      <c r="A2945" s="13" t="str">
        <f>HYPERLINK("https://parts-sales.ru/parts/MAN/81612110209","81.61211-0209")</f>
        <v>81.61211-0209</v>
      </c>
      <c r="B2945" s="13" t="str">
        <f>HYPERLINK("https://parts-sales.ru/parts/MAN/81612110209","Удлинение крыльев")</f>
        <v>Удлинение крыльев</v>
      </c>
      <c r="C2945" s="5" t="s">
        <v>15</v>
      </c>
      <c r="D2945" s="6">
        <v>20892.63</v>
      </c>
      <c r="E2945" s="6">
        <v>13918</v>
      </c>
      <c r="F2945" s="9">
        <v>0.33</v>
      </c>
      <c r="H2945" s="11"/>
      <c r="I2945" s="11"/>
      <c r="J2945" s="11"/>
    </row>
    <row r="2946" spans="1:10" ht="15.75" x14ac:dyDescent="0.3">
      <c r="A2946" s="12" t="str">
        <f>HYPERLINK("https://parts-sales.ru/parts/MAN/81612300117","81.61230-0117")</f>
        <v>81.61230-0117</v>
      </c>
      <c r="B2946" s="12" t="str">
        <f>HYPERLINK("https://parts-sales.ru/parts/MAN/81612300117","Крышка Пластмасса")</f>
        <v>Крышка Пластмасса</v>
      </c>
      <c r="C2946" s="3" t="s">
        <v>15</v>
      </c>
      <c r="D2946" s="4">
        <v>1774.8</v>
      </c>
      <c r="E2946" s="4">
        <v>53</v>
      </c>
      <c r="F2946" s="8">
        <v>0.97</v>
      </c>
      <c r="H2946" s="11"/>
      <c r="I2946" s="11"/>
      <c r="J2946" s="11"/>
    </row>
    <row r="2947" spans="1:10" ht="15.75" x14ac:dyDescent="0.3">
      <c r="A2947" s="13" t="str">
        <f>HYPERLINK("https://parts-sales.ru/parts/MAN/81612300206","81.61230-0206")</f>
        <v>81.61230-0206</v>
      </c>
      <c r="B2947" s="13" t="str">
        <f>HYPERLINK("https://parts-sales.ru/parts/MAN/81612300206","Брызговик L/R40/41")</f>
        <v>Брызговик L/R40/41</v>
      </c>
      <c r="C2947" s="5" t="s">
        <v>15</v>
      </c>
      <c r="D2947" s="6">
        <v>24976.799999999999</v>
      </c>
      <c r="E2947" s="6">
        <v>8869</v>
      </c>
      <c r="F2947" s="9">
        <v>0.64</v>
      </c>
      <c r="H2947" s="11"/>
      <c r="I2947" s="11"/>
      <c r="J2947" s="11"/>
    </row>
    <row r="2948" spans="1:10" ht="15.75" x14ac:dyDescent="0.3">
      <c r="A2948" s="12" t="str">
        <f>HYPERLINK("https://parts-sales.ru/parts/MAN/81612300260","81.61230-0260")</f>
        <v>81.61230-0260</v>
      </c>
      <c r="B2948" s="12" t="str">
        <f>HYPERLINK("https://parts-sales.ru/parts/MAN/81612300260","Крыло")</f>
        <v>Крыло</v>
      </c>
      <c r="C2948" s="3" t="s">
        <v>15</v>
      </c>
      <c r="D2948" s="4">
        <v>23725.200000000001</v>
      </c>
      <c r="E2948" s="4">
        <v>5058</v>
      </c>
      <c r="F2948" s="8">
        <v>0.79</v>
      </c>
      <c r="H2948" s="11"/>
      <c r="I2948" s="11"/>
      <c r="J2948" s="11"/>
    </row>
    <row r="2949" spans="1:10" ht="15.75" x14ac:dyDescent="0.3">
      <c r="A2949" s="13" t="str">
        <f>HYPERLINK("https://parts-sales.ru/parts/MAN/81612300296","81.61230-0296")</f>
        <v>81.61230-0296</v>
      </c>
      <c r="B2949" s="13" t="str">
        <f>HYPERLINK("https://parts-sales.ru/parts/MAN/81612300296","Брызговик L/R15/32/37")</f>
        <v>Брызговик L/R15/32/37</v>
      </c>
      <c r="C2949" s="5" t="s">
        <v>15</v>
      </c>
      <c r="D2949" s="6">
        <v>22202.400000000001</v>
      </c>
      <c r="E2949" s="6">
        <v>5462</v>
      </c>
      <c r="F2949" s="9">
        <v>0.75</v>
      </c>
      <c r="H2949" s="11"/>
      <c r="I2949" s="11"/>
      <c r="J2949" s="11"/>
    </row>
    <row r="2950" spans="1:10" ht="15.75" x14ac:dyDescent="0.3">
      <c r="A2950" s="12" t="str">
        <f>HYPERLINK("https://parts-sales.ru/parts/MAN/81612300336","81.61230-0336")</f>
        <v>81.61230-0336</v>
      </c>
      <c r="B2950" s="12" t="str">
        <f>HYPERLINK("https://parts-sales.ru/parts/MAN/81612300336","Запорная крышка Брызговик")</f>
        <v>Запорная крышка Брызговик</v>
      </c>
      <c r="C2950" s="3" t="s">
        <v>15</v>
      </c>
      <c r="D2950" s="4">
        <v>730.8</v>
      </c>
      <c r="E2950" s="4">
        <v>39</v>
      </c>
      <c r="F2950" s="8">
        <v>0.95</v>
      </c>
      <c r="H2950" s="11"/>
      <c r="I2950" s="11"/>
      <c r="J2950" s="11"/>
    </row>
    <row r="2951" spans="1:10" ht="15.75" x14ac:dyDescent="0.3">
      <c r="A2951" s="13" t="str">
        <f>HYPERLINK("https://parts-sales.ru/parts/MAN/81612300339","81.61230-0339")</f>
        <v>81.61230-0339</v>
      </c>
      <c r="B2951" s="13" t="str">
        <f>HYPERLINK("https://parts-sales.ru/parts/MAN/81612300339","Крыло")</f>
        <v>Крыло</v>
      </c>
      <c r="C2951" s="5" t="s">
        <v>15</v>
      </c>
      <c r="D2951" s="6">
        <v>4297.2</v>
      </c>
      <c r="E2951" s="6">
        <v>637</v>
      </c>
      <c r="F2951" s="9">
        <v>0.85</v>
      </c>
      <c r="H2951" s="11"/>
      <c r="I2951" s="11"/>
      <c r="J2951" s="11"/>
    </row>
    <row r="2952" spans="1:10" ht="15.75" x14ac:dyDescent="0.3">
      <c r="A2952" s="12" t="str">
        <f>HYPERLINK("https://parts-sales.ru/parts/MAN/81612300349","81.61230-0349")</f>
        <v>81.61230-0349</v>
      </c>
      <c r="B2952" s="12" t="str">
        <f>HYPERLINK("https://parts-sales.ru/parts/MAN/81612300349","Брызговик 815")</f>
        <v>Брызговик 815</v>
      </c>
      <c r="C2952" s="3" t="s">
        <v>15</v>
      </c>
      <c r="D2952" s="4">
        <v>10035.6</v>
      </c>
      <c r="E2952" s="4">
        <v>288</v>
      </c>
      <c r="F2952" s="8">
        <v>0.97</v>
      </c>
      <c r="H2952" s="11"/>
      <c r="I2952" s="11"/>
      <c r="J2952" s="11"/>
    </row>
    <row r="2953" spans="1:10" ht="15.75" x14ac:dyDescent="0.3">
      <c r="A2953" s="13" t="str">
        <f>HYPERLINK("https://parts-sales.ru/parts/MAN/81612300350","81.61230-0350")</f>
        <v>81.61230-0350</v>
      </c>
      <c r="B2953" s="13" t="str">
        <f>HYPERLINK("https://parts-sales.ru/parts/MAN/81612300350","Брызговик 815")</f>
        <v>Брызговик 815</v>
      </c>
      <c r="C2953" s="5" t="s">
        <v>15</v>
      </c>
      <c r="D2953" s="6">
        <v>10035.6</v>
      </c>
      <c r="E2953" s="6">
        <v>224</v>
      </c>
      <c r="F2953" s="9">
        <v>0.98</v>
      </c>
      <c r="H2953" s="11"/>
      <c r="I2953" s="11"/>
      <c r="J2953" s="11"/>
    </row>
    <row r="2954" spans="1:10" ht="15.75" x14ac:dyDescent="0.3">
      <c r="A2954" s="12" t="str">
        <f>HYPERLINK("https://parts-sales.ru/parts/MAN/81612300390","81.61230-0390")</f>
        <v>81.61230-0390</v>
      </c>
      <c r="B2954" s="12" t="str">
        <f>HYPERLINK("https://parts-sales.ru/parts/MAN/81612300390","Крыло Отверстие (паз)")</f>
        <v>Крыло Отверстие (паз)</v>
      </c>
      <c r="C2954" s="3" t="s">
        <v>15</v>
      </c>
      <c r="D2954" s="4">
        <v>14067.6</v>
      </c>
      <c r="E2954" s="4">
        <v>472</v>
      </c>
      <c r="F2954" s="8">
        <v>0.97</v>
      </c>
      <c r="H2954" s="11"/>
      <c r="I2954" s="11"/>
      <c r="J2954" s="11"/>
    </row>
    <row r="2955" spans="1:10" ht="15.75" x14ac:dyDescent="0.3">
      <c r="A2955" s="13" t="str">
        <f>HYPERLINK("https://parts-sales.ru/parts/MAN/81612430143","81.61243-0143")</f>
        <v>81.61243-0143</v>
      </c>
      <c r="B2955" s="13" t="str">
        <f>HYPERLINK("https://parts-sales.ru/parts/MAN/81612430143","Кожух ATO")</f>
        <v>Кожух ATO</v>
      </c>
      <c r="C2955" s="5" t="s">
        <v>15</v>
      </c>
      <c r="D2955" s="6">
        <v>3547.2</v>
      </c>
      <c r="E2955" s="6">
        <v>133</v>
      </c>
      <c r="F2955" s="9">
        <v>0.96</v>
      </c>
      <c r="H2955" s="11"/>
      <c r="I2955" s="11"/>
      <c r="J2955" s="11"/>
    </row>
    <row r="2956" spans="1:10" ht="15.75" x14ac:dyDescent="0.3">
      <c r="A2956" s="12" t="str">
        <f>HYPERLINK("https://parts-sales.ru/parts/MAN/81612430168","81.61243-0168")</f>
        <v>81.61243-0168</v>
      </c>
      <c r="B2956" s="12" t="str">
        <f>HYPERLINK("https://parts-sales.ru/parts/MAN/81612430168","Кожух Коробка с предохранителями")</f>
        <v>Кожух Коробка с предохранителями</v>
      </c>
      <c r="C2956" s="3" t="s">
        <v>15</v>
      </c>
      <c r="D2956" s="4">
        <v>3253.2</v>
      </c>
      <c r="E2956" s="4">
        <v>119</v>
      </c>
      <c r="F2956" s="8">
        <v>0.96</v>
      </c>
      <c r="H2956" s="11"/>
      <c r="I2956" s="11"/>
      <c r="J2956" s="11"/>
    </row>
    <row r="2957" spans="1:10" ht="15.75" x14ac:dyDescent="0.3">
      <c r="A2957" s="13" t="str">
        <f>HYPERLINK("https://parts-sales.ru/parts/MAN/81612430215","81.61243-0215")</f>
        <v>81.61243-0215</v>
      </c>
      <c r="B2957" s="13" t="str">
        <f>HYPERLINK("https://parts-sales.ru/parts/MAN/81612430215","Держатель")</f>
        <v>Держатель</v>
      </c>
      <c r="C2957" s="5" t="s">
        <v>15</v>
      </c>
      <c r="D2957" s="6">
        <v>50166</v>
      </c>
      <c r="E2957" s="6">
        <v>5045</v>
      </c>
      <c r="F2957" s="9">
        <v>0.9</v>
      </c>
      <c r="H2957" s="11"/>
      <c r="I2957" s="11"/>
      <c r="J2957" s="11"/>
    </row>
    <row r="2958" spans="1:10" ht="15.75" x14ac:dyDescent="0.3">
      <c r="A2958" s="12" t="str">
        <f>HYPERLINK("https://parts-sales.ru/parts/MAN/81612435401","81.61243-5401")</f>
        <v>81.61243-5401</v>
      </c>
      <c r="B2958" s="12" t="str">
        <f>HYPERLINK("https://parts-sales.ru/parts/MAN/81612435401","Держатель крыла")</f>
        <v>Держатель крыла</v>
      </c>
      <c r="C2958" s="3" t="s">
        <v>15</v>
      </c>
      <c r="D2958" s="4">
        <v>30411.599999999999</v>
      </c>
      <c r="E2958" s="4">
        <v>8050</v>
      </c>
      <c r="F2958" s="8">
        <v>0.74</v>
      </c>
      <c r="H2958" s="11"/>
      <c r="I2958" s="11"/>
      <c r="J2958" s="11"/>
    </row>
    <row r="2959" spans="1:10" ht="15.75" x14ac:dyDescent="0.3">
      <c r="A2959" s="13" t="str">
        <f>HYPERLINK("https://parts-sales.ru/parts/MAN/81612435469","81.61243-5469")</f>
        <v>81.61243-5469</v>
      </c>
      <c r="B2959" s="13" t="str">
        <f>HYPERLINK("https://parts-sales.ru/parts/MAN/81612435469","Держатель крыла 640")</f>
        <v>Держатель крыла 640</v>
      </c>
      <c r="C2959" s="5" t="s">
        <v>15</v>
      </c>
      <c r="D2959" s="6">
        <v>11373.6</v>
      </c>
      <c r="E2959" s="6">
        <v>370</v>
      </c>
      <c r="F2959" s="9">
        <v>0.97</v>
      </c>
      <c r="H2959" s="11"/>
      <c r="I2959" s="11"/>
      <c r="J2959" s="11"/>
    </row>
    <row r="2960" spans="1:10" ht="15.75" x14ac:dyDescent="0.3">
      <c r="A2960" s="12" t="str">
        <f>HYPERLINK("https://parts-sales.ru/parts/MAN/81612435496","81.61243-5496")</f>
        <v>81.61243-5496</v>
      </c>
      <c r="B2960" s="12" t="str">
        <f>HYPERLINK("https://parts-sales.ru/parts/MAN/81612435496","Держатель")</f>
        <v>Держатель</v>
      </c>
      <c r="C2960" s="3" t="s">
        <v>15</v>
      </c>
      <c r="D2960" s="4">
        <v>47605.2</v>
      </c>
      <c r="E2960" s="4">
        <v>1138</v>
      </c>
      <c r="F2960" s="8">
        <v>0.98</v>
      </c>
      <c r="H2960" s="11"/>
      <c r="I2960" s="11"/>
      <c r="J2960" s="11"/>
    </row>
    <row r="2961" spans="1:10" ht="15.75" x14ac:dyDescent="0.3">
      <c r="A2961" s="13" t="str">
        <f>HYPERLINK("https://parts-sales.ru/parts/MAN/81613102440","81.61310-2440")</f>
        <v>81.61310-2440</v>
      </c>
      <c r="B2961" s="13" t="str">
        <f>HYPERLINK("https://parts-sales.ru/parts/MAN/81613102440","Капот двигателя F99L/R15/31/32/36/37")</f>
        <v>Капот двигателя F99L/R15/31/32/36/37</v>
      </c>
      <c r="C2961" s="5" t="s">
        <v>15</v>
      </c>
      <c r="D2961" s="6">
        <v>52728</v>
      </c>
      <c r="E2961" s="6">
        <v>10355</v>
      </c>
      <c r="F2961" s="9">
        <v>0.8</v>
      </c>
      <c r="H2961" s="11"/>
      <c r="I2961" s="11"/>
      <c r="J2961" s="11"/>
    </row>
    <row r="2962" spans="1:10" ht="15.75" x14ac:dyDescent="0.3">
      <c r="A2962" s="12" t="str">
        <f>HYPERLINK("https://parts-sales.ru/parts/MAN/81613102444","81.61310-2444")</f>
        <v>81.61310-2444</v>
      </c>
      <c r="B2962" s="12" t="str">
        <f>HYPERLINK("https://parts-sales.ru/parts/MAN/81613102444","Капот двигателя F99L/R32/37")</f>
        <v>Капот двигателя F99L/R32/37</v>
      </c>
      <c r="C2962" s="3" t="s">
        <v>15</v>
      </c>
      <c r="D2962" s="4">
        <v>58704</v>
      </c>
      <c r="E2962" s="4">
        <v>15048</v>
      </c>
      <c r="F2962" s="8">
        <v>0.74</v>
      </c>
      <c r="H2962" s="11"/>
      <c r="I2962" s="11"/>
      <c r="J2962" s="11"/>
    </row>
    <row r="2963" spans="1:10" ht="15.75" x14ac:dyDescent="0.3">
      <c r="A2963" s="13" t="str">
        <f>HYPERLINK("https://parts-sales.ru/parts/MAN/81613700347","81.61370-0347")</f>
        <v>81.61370-0347</v>
      </c>
      <c r="B2963" s="13" t="str">
        <f>HYPERLINK("https://parts-sales.ru/parts/MAN/81613700347","Изоляция")</f>
        <v>Изоляция</v>
      </c>
      <c r="C2963" s="5" t="s">
        <v>15</v>
      </c>
      <c r="D2963" s="6">
        <v>2434.8000000000002</v>
      </c>
      <c r="E2963" s="6">
        <v>424</v>
      </c>
      <c r="F2963" s="9">
        <v>0.83</v>
      </c>
      <c r="H2963" s="11"/>
      <c r="I2963" s="11"/>
      <c r="J2963" s="11"/>
    </row>
    <row r="2964" spans="1:10" ht="15.75" x14ac:dyDescent="0.3">
      <c r="A2964" s="12" t="str">
        <f>HYPERLINK("https://parts-sales.ru/parts/MAN/81614304481","81.61430-4481")</f>
        <v>81.61430-4481</v>
      </c>
      <c r="B2964" s="12" t="str">
        <f>HYPERLINK("https://parts-sales.ru/parts/MAN/81614304481","Торцевая платсина F99L/R40/44/47/49")</f>
        <v>Торцевая платсина F99L/R40/44/47/49</v>
      </c>
      <c r="C2964" s="3" t="s">
        <v>15</v>
      </c>
      <c r="D2964" s="4">
        <v>27853.34</v>
      </c>
      <c r="E2964" s="4">
        <v>16711</v>
      </c>
      <c r="F2964" s="8">
        <v>0.4</v>
      </c>
      <c r="H2964" s="11"/>
      <c r="I2964" s="11"/>
      <c r="J2964" s="11"/>
    </row>
    <row r="2965" spans="1:10" ht="15.75" x14ac:dyDescent="0.3">
      <c r="A2965" s="13" t="str">
        <f>HYPERLINK("https://parts-sales.ru/parts/MAN/81614304482","81.61430-4482")</f>
        <v>81.61430-4482</v>
      </c>
      <c r="B2965" s="13" t="str">
        <f>HYPERLINK("https://parts-sales.ru/parts/MAN/81614304482","Торцевая платсина F99L/R10-39")</f>
        <v>Торцевая платсина F99L/R10-39</v>
      </c>
      <c r="C2965" s="5" t="s">
        <v>15</v>
      </c>
      <c r="D2965" s="6">
        <v>78982.8</v>
      </c>
      <c r="E2965" s="6">
        <v>16061</v>
      </c>
      <c r="F2965" s="9">
        <v>0.8</v>
      </c>
      <c r="H2965" s="11"/>
      <c r="I2965" s="11"/>
      <c r="J2965" s="11"/>
    </row>
    <row r="2966" spans="1:10" ht="15.75" x14ac:dyDescent="0.3">
      <c r="A2966" s="12" t="str">
        <f>HYPERLINK("https://parts-sales.ru/parts/MAN/81614304508","81.61430-4508")</f>
        <v>81.61430-4508</v>
      </c>
      <c r="B2966" s="12" t="str">
        <f>HYPERLINK("https://parts-sales.ru/parts/MAN/81614304508","Торцевая платсина GM/GN/GX")</f>
        <v>Торцевая платсина GM/GN/GX</v>
      </c>
      <c r="C2966" s="3" t="s">
        <v>15</v>
      </c>
      <c r="D2966" s="4">
        <v>46080</v>
      </c>
      <c r="E2966" s="4">
        <v>11214</v>
      </c>
      <c r="F2966" s="8">
        <v>0.76</v>
      </c>
      <c r="H2966" s="11"/>
      <c r="I2966" s="11"/>
      <c r="J2966" s="11"/>
    </row>
    <row r="2967" spans="1:10" ht="15.75" x14ac:dyDescent="0.3">
      <c r="A2967" s="13" t="str">
        <f>HYPERLINK("https://parts-sales.ru/parts/MAN/81614304510","81.61430-4510")</f>
        <v>81.61430-4510</v>
      </c>
      <c r="B2967" s="13" t="str">
        <f>HYPERLINK("https://parts-sales.ru/parts/MAN/81614304510","Передняя стенка GM/GN/GX")</f>
        <v>Передняя стенка GM/GN/GX</v>
      </c>
      <c r="C2967" s="5" t="s">
        <v>15</v>
      </c>
      <c r="D2967" s="6">
        <v>150157.9</v>
      </c>
      <c r="E2967" s="6">
        <v>98286</v>
      </c>
      <c r="F2967" s="9">
        <v>0.35</v>
      </c>
      <c r="H2967" s="11"/>
      <c r="I2967" s="11"/>
      <c r="J2967" s="11"/>
    </row>
    <row r="2968" spans="1:10" ht="15.75" x14ac:dyDescent="0.3">
      <c r="A2968" s="12" t="str">
        <f>HYPERLINK("https://parts-sales.ru/parts/MAN/81614354003","81.61435-4003")</f>
        <v>81.61435-4003</v>
      </c>
      <c r="B2968" s="12" t="str">
        <f>HYPERLINK("https://parts-sales.ru/parts/MAN/81614354003","Зажимное устройство Средняя часть")</f>
        <v>Зажимное устройство Средняя часть</v>
      </c>
      <c r="C2968" s="3" t="s">
        <v>15</v>
      </c>
      <c r="D2968" s="4">
        <v>2199.6</v>
      </c>
      <c r="E2968" s="4">
        <v>390</v>
      </c>
      <c r="F2968" s="8">
        <v>0.82</v>
      </c>
      <c r="H2968" s="11"/>
      <c r="I2968" s="11"/>
      <c r="J2968" s="11"/>
    </row>
    <row r="2969" spans="1:10" ht="15.75" x14ac:dyDescent="0.3">
      <c r="A2969" s="13" t="str">
        <f>HYPERLINK("https://parts-sales.ru/parts/MAN/81614466001","81.61446-6001")</f>
        <v>81.61446-6001</v>
      </c>
      <c r="B2969" s="13" t="str">
        <f>HYPERLINK("https://parts-sales.ru/parts/MAN/81614466001","Скоба шариковая ручка")</f>
        <v>Скоба шариковая ручка</v>
      </c>
      <c r="C2969" s="5" t="s">
        <v>15</v>
      </c>
      <c r="D2969" s="6">
        <v>1323.6</v>
      </c>
      <c r="E2969" s="6">
        <v>309</v>
      </c>
      <c r="F2969" s="9">
        <v>0.77</v>
      </c>
      <c r="H2969" s="11"/>
      <c r="I2969" s="11"/>
      <c r="J2969" s="11"/>
    </row>
    <row r="2970" spans="1:10" ht="15.75" x14ac:dyDescent="0.3">
      <c r="A2970" s="12" t="str">
        <f>HYPERLINK("https://parts-sales.ru/parts/MAN/81614700057","81.61470-0057")</f>
        <v>81.61470-0057</v>
      </c>
      <c r="B2970" s="12" t="str">
        <f>HYPERLINK("https://parts-sales.ru/parts/MAN/81614700057","Декоративная крышка Резьбовое соединение")</f>
        <v>Декоративная крышка Резьбовое соединение</v>
      </c>
      <c r="C2970" s="3" t="s">
        <v>15</v>
      </c>
      <c r="D2970" s="4">
        <v>324</v>
      </c>
      <c r="E2970" s="4">
        <v>86</v>
      </c>
      <c r="F2970" s="8">
        <v>0.73</v>
      </c>
      <c r="H2970" s="11"/>
      <c r="I2970" s="11"/>
      <c r="J2970" s="11"/>
    </row>
    <row r="2971" spans="1:10" ht="15.75" x14ac:dyDescent="0.3">
      <c r="A2971" s="13" t="str">
        <f>HYPERLINK("https://parts-sales.ru/parts/MAN/81614700069","81.61470-0069")</f>
        <v>81.61470-0069</v>
      </c>
      <c r="B2971" s="13" t="str">
        <f>HYPERLINK("https://parts-sales.ru/parts/MAN/81614700069","Кожух F99 L/R17,34,39,44,45,49")</f>
        <v>Кожух F99 L/R17,34,39,44,45,49</v>
      </c>
      <c r="C2971" s="5" t="s">
        <v>15</v>
      </c>
      <c r="D2971" s="6">
        <v>6470.4</v>
      </c>
      <c r="E2971" s="6">
        <v>1329</v>
      </c>
      <c r="F2971" s="9">
        <v>0.79</v>
      </c>
      <c r="H2971" s="11"/>
      <c r="I2971" s="11"/>
      <c r="J2971" s="11"/>
    </row>
    <row r="2972" spans="1:10" ht="15.75" x14ac:dyDescent="0.3">
      <c r="A2972" s="12" t="str">
        <f>HYPERLINK("https://parts-sales.ru/parts/MAN/81614706017","81.61470-6017")</f>
        <v>81.61470-6017</v>
      </c>
      <c r="B2972" s="12" t="str">
        <f>HYPERLINK("https://parts-sales.ru/parts/MAN/81614706017","Обшивка F99 L44,45,49")</f>
        <v>Обшивка F99 L44,45,49</v>
      </c>
      <c r="C2972" s="3" t="s">
        <v>15</v>
      </c>
      <c r="D2972" s="4">
        <v>21070.799999999999</v>
      </c>
      <c r="E2972" s="4">
        <v>3581</v>
      </c>
      <c r="F2972" s="8">
        <v>0.83</v>
      </c>
      <c r="H2972" s="11"/>
      <c r="I2972" s="11"/>
      <c r="J2972" s="11"/>
    </row>
    <row r="2973" spans="1:10" ht="15.75" x14ac:dyDescent="0.3">
      <c r="A2973" s="13" t="str">
        <f>HYPERLINK("https://parts-sales.ru/parts/MAN/81614706021","81.61470-6021")</f>
        <v>81.61470-6021</v>
      </c>
      <c r="B2973" s="13" t="str">
        <f>HYPERLINK("https://parts-sales.ru/parts/MAN/81614706021","Обшивка F99 L/R17,34,39,44,45,49")</f>
        <v>Обшивка F99 L/R17,34,39,44,45,49</v>
      </c>
      <c r="C2973" s="5" t="s">
        <v>15</v>
      </c>
      <c r="D2973" s="6">
        <v>2019.6</v>
      </c>
      <c r="E2973" s="6">
        <v>438</v>
      </c>
      <c r="F2973" s="9">
        <v>0.78</v>
      </c>
      <c r="H2973" s="11"/>
      <c r="I2973" s="11"/>
      <c r="J2973" s="11"/>
    </row>
    <row r="2974" spans="1:10" ht="15.75" x14ac:dyDescent="0.3">
      <c r="A2974" s="12" t="str">
        <f>HYPERLINK("https://parts-sales.ru/parts/MAN/81614706022","81.61470-6022")</f>
        <v>81.61470-6022</v>
      </c>
      <c r="B2974" s="12" t="str">
        <f>HYPERLINK("https://parts-sales.ru/parts/MAN/81614706022","Обшивка F99 L17,34,39")</f>
        <v>Обшивка F99 L17,34,39</v>
      </c>
      <c r="C2974" s="3" t="s">
        <v>15</v>
      </c>
      <c r="D2974" s="4">
        <v>9057.6</v>
      </c>
      <c r="E2974" s="4">
        <v>1817</v>
      </c>
      <c r="F2974" s="8">
        <v>0.8</v>
      </c>
      <c r="H2974" s="11"/>
      <c r="I2974" s="11"/>
      <c r="J2974" s="11"/>
    </row>
    <row r="2975" spans="1:10" ht="15.75" x14ac:dyDescent="0.3">
      <c r="A2975" s="13" t="str">
        <f>HYPERLINK("https://parts-sales.ru/parts/MAN/81615016003","81.61501-6003")</f>
        <v>81.61501-6003</v>
      </c>
      <c r="B2975" s="13" t="str">
        <f>HYPERLINK("https://parts-sales.ru/parts/MAN/81615016003","Ступенька")</f>
        <v>Ступенька</v>
      </c>
      <c r="C2975" s="5" t="s">
        <v>15</v>
      </c>
      <c r="D2975" s="6">
        <v>8570.4</v>
      </c>
      <c r="E2975" s="6">
        <v>1725</v>
      </c>
      <c r="F2975" s="9">
        <v>0.8</v>
      </c>
      <c r="H2975" s="11"/>
      <c r="I2975" s="11"/>
      <c r="J2975" s="11"/>
    </row>
    <row r="2976" spans="1:10" ht="15.75" x14ac:dyDescent="0.3">
      <c r="A2976" s="12" t="str">
        <f>HYPERLINK("https://parts-sales.ru/parts/MAN/81615100409","81.61510-0409")</f>
        <v>81.61510-0409</v>
      </c>
      <c r="B2976" s="12" t="str">
        <f>HYPERLINK("https://parts-sales.ru/parts/MAN/81615100409","Удлинение крыльев F99L-R40/41")</f>
        <v>Удлинение крыльев F99L-R40/41</v>
      </c>
      <c r="C2976" s="3" t="s">
        <v>15</v>
      </c>
      <c r="D2976" s="4">
        <v>53359.199999999997</v>
      </c>
      <c r="E2976" s="4">
        <v>22666</v>
      </c>
      <c r="F2976" s="8">
        <v>0.57999999999999996</v>
      </c>
      <c r="H2976" s="11"/>
      <c r="I2976" s="11"/>
      <c r="J2976" s="11"/>
    </row>
    <row r="2977" spans="1:10" ht="15.75" x14ac:dyDescent="0.3">
      <c r="A2977" s="13" t="str">
        <f>HYPERLINK("https://parts-sales.ru/parts/MAN/81615100411","81.61510-0411")</f>
        <v>81.61510-0411</v>
      </c>
      <c r="B2977" s="13" t="str">
        <f>HYPERLINK("https://parts-sales.ru/parts/MAN/81615100411","Удлинение крыльев F99L-R40/41")</f>
        <v>Удлинение крыльев F99L-R40/41</v>
      </c>
      <c r="C2977" s="5" t="s">
        <v>15</v>
      </c>
      <c r="D2977" s="6">
        <v>64171.87</v>
      </c>
      <c r="E2977" s="6">
        <v>26804</v>
      </c>
      <c r="F2977" s="9">
        <v>0.57999999999999996</v>
      </c>
      <c r="H2977" s="11"/>
      <c r="I2977" s="11"/>
      <c r="J2977" s="11"/>
    </row>
    <row r="2978" spans="1:10" ht="15.75" x14ac:dyDescent="0.3">
      <c r="A2978" s="12" t="str">
        <f>HYPERLINK("https://parts-sales.ru/parts/MAN/81615100786","81.61510-0786")</f>
        <v>81.61510-0786</v>
      </c>
      <c r="B2978" s="12" t="str">
        <f>HYPERLINK("https://parts-sales.ru/parts/MAN/81615100786","Проступная планка справа")</f>
        <v>Проступная планка справа</v>
      </c>
      <c r="C2978" s="3" t="s">
        <v>15</v>
      </c>
      <c r="D2978" s="4">
        <v>2482.8000000000002</v>
      </c>
      <c r="E2978" s="4">
        <v>1112</v>
      </c>
      <c r="F2978" s="8">
        <v>0.55000000000000004</v>
      </c>
      <c r="H2978" s="11"/>
      <c r="I2978" s="11"/>
      <c r="J2978" s="11"/>
    </row>
    <row r="2979" spans="1:10" ht="15.75" x14ac:dyDescent="0.3">
      <c r="A2979" s="13" t="str">
        <f>HYPERLINK("https://parts-sales.ru/parts/MAN/81615100823","81.61510-0823")</f>
        <v>81.61510-0823</v>
      </c>
      <c r="B2979" s="13" t="str">
        <f>HYPERLINK("https://parts-sales.ru/parts/MAN/81615100823","Крышка для входного ящика")</f>
        <v>Крышка для входного ящика</v>
      </c>
      <c r="C2979" s="5" t="s">
        <v>15</v>
      </c>
      <c r="D2979" s="6">
        <v>2095.1999999999998</v>
      </c>
      <c r="E2979" s="6">
        <v>676</v>
      </c>
      <c r="F2979" s="9">
        <v>0.68</v>
      </c>
      <c r="H2979" s="11"/>
      <c r="I2979" s="11"/>
      <c r="J2979" s="11"/>
    </row>
    <row r="2980" spans="1:10" ht="15.75" x14ac:dyDescent="0.3">
      <c r="A2980" s="12" t="str">
        <f>HYPERLINK("https://parts-sales.ru/parts/MAN/81615100869","81.61510-0869")</f>
        <v>81.61510-0869</v>
      </c>
      <c r="B2980" s="12" t="str">
        <f>HYPERLINK("https://parts-sales.ru/parts/MAN/81615100869","Передняя часть крыла F99L/R 17/34/39")</f>
        <v>Передняя часть крыла F99L/R 17/34/39</v>
      </c>
      <c r="C2980" s="3" t="s">
        <v>15</v>
      </c>
      <c r="D2980" s="4">
        <v>88530</v>
      </c>
      <c r="E2980" s="4">
        <v>22813</v>
      </c>
      <c r="F2980" s="8">
        <v>0.74</v>
      </c>
      <c r="H2980" s="11"/>
      <c r="I2980" s="11"/>
      <c r="J2980" s="11"/>
    </row>
    <row r="2981" spans="1:10" ht="15.75" x14ac:dyDescent="0.3">
      <c r="A2981" s="13" t="str">
        <f>HYPERLINK("https://parts-sales.ru/parts/MAN/81615100881","81.61510-0881")</f>
        <v>81.61510-0881</v>
      </c>
      <c r="B2981" s="13" t="str">
        <f>HYPERLINK("https://parts-sales.ru/parts/MAN/81615100881","Передняя часть крыла F99L/R 17/34/39")</f>
        <v>Передняя часть крыла F99L/R 17/34/39</v>
      </c>
      <c r="C2981" s="5" t="s">
        <v>15</v>
      </c>
      <c r="D2981" s="6">
        <v>37755.79</v>
      </c>
      <c r="E2981" s="6">
        <v>17299</v>
      </c>
      <c r="F2981" s="9">
        <v>0.54</v>
      </c>
      <c r="H2981" s="11"/>
      <c r="I2981" s="11"/>
      <c r="J2981" s="11"/>
    </row>
    <row r="2982" spans="1:10" ht="15.75" x14ac:dyDescent="0.3">
      <c r="A2982" s="12" t="str">
        <f>HYPERLINK("https://parts-sales.ru/parts/MAN/81615100891","81.61510-0891")</f>
        <v>81.61510-0891</v>
      </c>
      <c r="B2982" s="12" t="str">
        <f>HYPERLINK("https://parts-sales.ru/parts/MAN/81615100891","Передняя часть крыла F99L/R 17/34/39")</f>
        <v>Передняя часть крыла F99L/R 17/34/39</v>
      </c>
      <c r="C2982" s="3" t="s">
        <v>15</v>
      </c>
      <c r="D2982" s="4">
        <v>72620.399999999994</v>
      </c>
      <c r="E2982" s="4">
        <v>20659</v>
      </c>
      <c r="F2982" s="8">
        <v>0.72</v>
      </c>
      <c r="H2982" s="11"/>
      <c r="I2982" s="11"/>
      <c r="J2982" s="11"/>
    </row>
    <row r="2983" spans="1:10" ht="15.75" x14ac:dyDescent="0.3">
      <c r="A2983" s="13" t="str">
        <f>HYPERLINK("https://parts-sales.ru/parts/MAN/81615100892","81.61510-0892")</f>
        <v>81.61510-0892</v>
      </c>
      <c r="B2983" s="13" t="str">
        <f>HYPERLINK("https://parts-sales.ru/parts/MAN/81615100892","Передняя часть крыла F99L/R 17/34/39")</f>
        <v>Передняя часть крыла F99L/R 17/34/39</v>
      </c>
      <c r="C2983" s="5" t="s">
        <v>15</v>
      </c>
      <c r="D2983" s="6">
        <v>84105.600000000006</v>
      </c>
      <c r="E2983" s="6">
        <v>19500</v>
      </c>
      <c r="F2983" s="9">
        <v>0.77</v>
      </c>
      <c r="H2983" s="11"/>
      <c r="I2983" s="11"/>
      <c r="J2983" s="11"/>
    </row>
    <row r="2984" spans="1:10" ht="15.75" x14ac:dyDescent="0.3">
      <c r="A2984" s="12" t="str">
        <f>HYPERLINK("https://parts-sales.ru/parts/MAN/81615100939","81.61510-0939")</f>
        <v>81.61510-0939</v>
      </c>
      <c r="B2984" s="12" t="str">
        <f>HYPERLINK("https://parts-sales.ru/parts/MAN/81615100939","Передняя часть крыла грунтованный")</f>
        <v>Передняя часть крыла грунтованный</v>
      </c>
      <c r="C2984" s="3" t="s">
        <v>15</v>
      </c>
      <c r="D2984" s="4">
        <v>44049.599999999999</v>
      </c>
      <c r="E2984" s="4">
        <v>18337</v>
      </c>
      <c r="F2984" s="8">
        <v>0.57999999999999996</v>
      </c>
      <c r="H2984" s="11"/>
      <c r="I2984" s="11"/>
      <c r="J2984" s="11"/>
    </row>
    <row r="2985" spans="1:10" ht="15.75" x14ac:dyDescent="0.3">
      <c r="A2985" s="13" t="str">
        <f>HYPERLINK("https://parts-sales.ru/parts/MAN/81615100940","81.61510-0940")</f>
        <v>81.61510-0940</v>
      </c>
      <c r="B2985" s="13" t="str">
        <f>HYPERLINK("https://parts-sales.ru/parts/MAN/81615100940","Передняя часть крыла F99 L/R 10")</f>
        <v>Передняя часть крыла F99 L/R 10</v>
      </c>
      <c r="C2985" s="5" t="s">
        <v>15</v>
      </c>
      <c r="D2985" s="6">
        <v>46453.2</v>
      </c>
      <c r="E2985" s="6">
        <v>17808</v>
      </c>
      <c r="F2985" s="9">
        <v>0.62</v>
      </c>
      <c r="H2985" s="11"/>
      <c r="I2985" s="11"/>
      <c r="J2985" s="11"/>
    </row>
    <row r="2986" spans="1:10" ht="15.75" x14ac:dyDescent="0.3">
      <c r="A2986" s="12" t="str">
        <f>HYPERLINK("https://parts-sales.ru/parts/MAN/81615100941","81.61510-0941")</f>
        <v>81.61510-0941</v>
      </c>
      <c r="B2986" s="12" t="str">
        <f>HYPERLINK("https://parts-sales.ru/parts/MAN/81615100941","Передняя часть крыла F99 L/R 10")</f>
        <v>Передняя часть крыла F99 L/R 10</v>
      </c>
      <c r="C2986" s="3" t="s">
        <v>15</v>
      </c>
      <c r="D2986" s="4">
        <v>28307.360000000001</v>
      </c>
      <c r="E2986" s="4">
        <v>18530</v>
      </c>
      <c r="F2986" s="8">
        <v>0.35</v>
      </c>
      <c r="H2986" s="11"/>
      <c r="I2986" s="11"/>
      <c r="J2986" s="11"/>
    </row>
    <row r="2987" spans="1:10" ht="15.75" x14ac:dyDescent="0.3">
      <c r="A2987" s="13" t="str">
        <f>HYPERLINK("https://parts-sales.ru/parts/MAN/81615200107","81.61520-0107")</f>
        <v>81.61520-0107</v>
      </c>
      <c r="B2987" s="13" t="str">
        <f>HYPERLINK("https://parts-sales.ru/parts/MAN/81615200107","Передняя часть крыла")</f>
        <v>Передняя часть крыла</v>
      </c>
      <c r="C2987" s="5" t="s">
        <v>15</v>
      </c>
      <c r="D2987" s="6">
        <v>38892</v>
      </c>
      <c r="E2987" s="6">
        <v>9388</v>
      </c>
      <c r="F2987" s="9">
        <v>0.76</v>
      </c>
      <c r="H2987" s="11"/>
      <c r="I2987" s="11"/>
      <c r="J2987" s="11"/>
    </row>
    <row r="2988" spans="1:10" ht="15.75" x14ac:dyDescent="0.3">
      <c r="A2988" s="12" t="str">
        <f>HYPERLINK("https://parts-sales.ru/parts/MAN/81615405035","81.61540-5035")</f>
        <v>81.61540-5035</v>
      </c>
      <c r="B2988" s="12" t="str">
        <f>HYPERLINK("https://parts-sales.ru/parts/MAN/81615405035","Опора     подножки")</f>
        <v>Опора     подножки</v>
      </c>
      <c r="C2988" s="3" t="s">
        <v>15</v>
      </c>
      <c r="D2988" s="4">
        <v>4173.6000000000004</v>
      </c>
      <c r="E2988" s="4">
        <v>846</v>
      </c>
      <c r="F2988" s="8">
        <v>0.8</v>
      </c>
      <c r="H2988" s="11"/>
      <c r="I2988" s="11"/>
      <c r="J2988" s="11"/>
    </row>
    <row r="2989" spans="1:10" ht="15.75" x14ac:dyDescent="0.3">
      <c r="A2989" s="13" t="str">
        <f>HYPERLINK("https://parts-sales.ru/parts/MAN/81615405070","81.61540-5070")</f>
        <v>81.61540-5070</v>
      </c>
      <c r="B2989" s="13" t="str">
        <f>HYPERLINK("https://parts-sales.ru/parts/MAN/81615405070","Держатель")</f>
        <v>Держатель</v>
      </c>
      <c r="C2989" s="5" t="s">
        <v>15</v>
      </c>
      <c r="D2989" s="6">
        <v>27324</v>
      </c>
      <c r="E2989" s="6">
        <v>5691</v>
      </c>
      <c r="F2989" s="9">
        <v>0.79</v>
      </c>
      <c r="H2989" s="11"/>
      <c r="I2989" s="11"/>
      <c r="J2989" s="11"/>
    </row>
    <row r="2990" spans="1:10" ht="15.75" x14ac:dyDescent="0.3">
      <c r="A2990" s="12" t="str">
        <f>HYPERLINK("https://parts-sales.ru/parts/MAN/81615405071","81.61540-5071")</f>
        <v>81.61540-5071</v>
      </c>
      <c r="B2990" s="12" t="str">
        <f>HYPERLINK("https://parts-sales.ru/parts/MAN/81615405071","Держатель")</f>
        <v>Держатель</v>
      </c>
      <c r="C2990" s="3" t="s">
        <v>15</v>
      </c>
      <c r="D2990" s="4">
        <v>27324</v>
      </c>
      <c r="E2990" s="4">
        <v>5597</v>
      </c>
      <c r="F2990" s="8">
        <v>0.8</v>
      </c>
      <c r="H2990" s="11"/>
      <c r="I2990" s="11"/>
      <c r="J2990" s="11"/>
    </row>
    <row r="2991" spans="1:10" ht="15.75" x14ac:dyDescent="0.3">
      <c r="A2991" s="13" t="str">
        <f>HYPERLINK("https://parts-sales.ru/parts/MAN/81615405125","81.61540-5125")</f>
        <v>81.61540-5125</v>
      </c>
      <c r="B2991" s="13" t="str">
        <f>HYPERLINK("https://parts-sales.ru/parts/MAN/81615405125","Опорная труба Вход")</f>
        <v>Опорная труба Вход</v>
      </c>
      <c r="C2991" s="5" t="s">
        <v>15</v>
      </c>
      <c r="D2991" s="6">
        <v>5793.6</v>
      </c>
      <c r="E2991" s="6">
        <v>613</v>
      </c>
      <c r="F2991" s="9">
        <v>0.89</v>
      </c>
      <c r="H2991" s="11"/>
      <c r="I2991" s="11"/>
      <c r="J2991" s="11"/>
    </row>
    <row r="2992" spans="1:10" ht="15.75" x14ac:dyDescent="0.3">
      <c r="A2992" s="12" t="str">
        <f>HYPERLINK("https://parts-sales.ru/parts/MAN/81615405138","81.61540-5138")</f>
        <v>81.61540-5138</v>
      </c>
      <c r="B2992" s="12" t="str">
        <f>HYPERLINK("https://parts-sales.ru/parts/MAN/81615405138","Опора Вход")</f>
        <v>Опора Вход</v>
      </c>
      <c r="C2992" s="3" t="s">
        <v>15</v>
      </c>
      <c r="D2992" s="4">
        <v>6573.6</v>
      </c>
      <c r="E2992" s="4">
        <v>2749</v>
      </c>
      <c r="F2992" s="8">
        <v>0.57999999999999996</v>
      </c>
      <c r="H2992" s="11"/>
      <c r="I2992" s="11"/>
      <c r="J2992" s="11"/>
    </row>
    <row r="2993" spans="1:10" ht="15.75" x14ac:dyDescent="0.3">
      <c r="A2993" s="13" t="str">
        <f>HYPERLINK("https://parts-sales.ru/parts/MAN/81615405148","81.61540-5148")</f>
        <v>81.61540-5148</v>
      </c>
      <c r="B2993" s="13" t="str">
        <f>HYPERLINK("https://parts-sales.ru/parts/MAN/81615405148","Держатель передняя часть крыла")</f>
        <v>Держатель передняя часть крыла</v>
      </c>
      <c r="C2993" s="5" t="s">
        <v>15</v>
      </c>
      <c r="D2993" s="6">
        <v>12535.2</v>
      </c>
      <c r="E2993" s="6">
        <v>4193</v>
      </c>
      <c r="F2993" s="9">
        <v>0.67</v>
      </c>
      <c r="H2993" s="11"/>
      <c r="I2993" s="11"/>
      <c r="J2993" s="11"/>
    </row>
    <row r="2994" spans="1:10" ht="15.75" x14ac:dyDescent="0.3">
      <c r="A2994" s="12" t="str">
        <f>HYPERLINK("https://parts-sales.ru/parts/MAN/81615405149","81.61540-5149")</f>
        <v>81.61540-5149</v>
      </c>
      <c r="B2994" s="12" t="str">
        <f>HYPERLINK("https://parts-sales.ru/parts/MAN/81615405149","Держатель передняя часть крыла")</f>
        <v>Держатель передняя часть крыла</v>
      </c>
      <c r="C2994" s="3" t="s">
        <v>15</v>
      </c>
      <c r="D2994" s="4">
        <v>7063.84</v>
      </c>
      <c r="E2994" s="4">
        <v>3304</v>
      </c>
      <c r="F2994" s="8">
        <v>0.53</v>
      </c>
      <c r="H2994" s="11"/>
      <c r="I2994" s="11"/>
      <c r="J2994" s="11"/>
    </row>
    <row r="2995" spans="1:10" ht="15.75" x14ac:dyDescent="0.3">
      <c r="A2995" s="13" t="str">
        <f>HYPERLINK("https://parts-sales.ru/parts/MAN/81615405187","81.61540-5187")</f>
        <v>81.61540-5187</v>
      </c>
      <c r="B2995" s="13" t="str">
        <f>HYPERLINK("https://parts-sales.ru/parts/MAN/81615405187","Накладка")</f>
        <v>Накладка</v>
      </c>
      <c r="C2995" s="5" t="s">
        <v>15</v>
      </c>
      <c r="D2995" s="6">
        <v>3045.6</v>
      </c>
      <c r="E2995" s="6">
        <v>241</v>
      </c>
      <c r="F2995" s="9">
        <v>0.92</v>
      </c>
      <c r="H2995" s="11"/>
      <c r="I2995" s="11"/>
      <c r="J2995" s="11"/>
    </row>
    <row r="2996" spans="1:10" ht="15.75" x14ac:dyDescent="0.3">
      <c r="A2996" s="12" t="str">
        <f>HYPERLINK("https://parts-sales.ru/parts/MAN/81615405188","81.61540-5188")</f>
        <v>81.61540-5188</v>
      </c>
      <c r="B2996" s="12" t="str">
        <f>HYPERLINK("https://parts-sales.ru/parts/MAN/81615405188","Накладка")</f>
        <v>Накладка</v>
      </c>
      <c r="C2996" s="3" t="s">
        <v>15</v>
      </c>
      <c r="D2996" s="4">
        <v>3045.6</v>
      </c>
      <c r="E2996" s="4">
        <v>126</v>
      </c>
      <c r="F2996" s="8">
        <v>0.96</v>
      </c>
      <c r="H2996" s="11"/>
      <c r="I2996" s="11"/>
      <c r="J2996" s="11"/>
    </row>
    <row r="2997" spans="1:10" ht="15.75" x14ac:dyDescent="0.3">
      <c r="A2997" s="13" t="str">
        <f>HYPERLINK("https://parts-sales.ru/parts/MAN/81615405189","81.61540-5189")</f>
        <v>81.61540-5189</v>
      </c>
      <c r="B2997" s="13" t="str">
        <f>HYPERLINK("https://parts-sales.ru/parts/MAN/81615405189","Накладка")</f>
        <v>Накладка</v>
      </c>
      <c r="C2997" s="5" t="s">
        <v>15</v>
      </c>
      <c r="D2997" s="6">
        <v>3217.2</v>
      </c>
      <c r="E2997" s="6">
        <v>243</v>
      </c>
      <c r="F2997" s="9">
        <v>0.92</v>
      </c>
      <c r="H2997" s="11"/>
      <c r="I2997" s="11"/>
      <c r="J2997" s="11"/>
    </row>
    <row r="2998" spans="1:10" ht="15.75" x14ac:dyDescent="0.3">
      <c r="A2998" s="12" t="str">
        <f>HYPERLINK("https://parts-sales.ru/parts/MAN/81615405190","81.61540-5190")</f>
        <v>81.61540-5190</v>
      </c>
      <c r="B2998" s="12" t="str">
        <f>HYPERLINK("https://parts-sales.ru/parts/MAN/81615405190","Накладка")</f>
        <v>Накладка</v>
      </c>
      <c r="C2998" s="3" t="s">
        <v>15</v>
      </c>
      <c r="D2998" s="4">
        <v>3217.2</v>
      </c>
      <c r="E2998" s="4">
        <v>126</v>
      </c>
      <c r="F2998" s="8">
        <v>0.96</v>
      </c>
      <c r="H2998" s="11"/>
      <c r="I2998" s="11"/>
      <c r="J2998" s="11"/>
    </row>
    <row r="2999" spans="1:10" ht="15.75" x14ac:dyDescent="0.3">
      <c r="A2999" s="13" t="str">
        <f>HYPERLINK("https://parts-sales.ru/parts/MAN/81617010267","81.61701-0267")</f>
        <v>81.61701-0267</v>
      </c>
      <c r="B2999" s="13" t="str">
        <f>HYPERLINK("https://parts-sales.ru/parts/MAN/81617010267","Декоративная крышка")</f>
        <v>Декоративная крышка</v>
      </c>
      <c r="C2999" s="5" t="s">
        <v>15</v>
      </c>
      <c r="D2999" s="6">
        <v>992.4</v>
      </c>
      <c r="E2999" s="6">
        <v>269</v>
      </c>
      <c r="F2999" s="9">
        <v>0.73</v>
      </c>
      <c r="H2999" s="11"/>
      <c r="I2999" s="11"/>
      <c r="J2999" s="11"/>
    </row>
    <row r="3000" spans="1:10" ht="15.75" x14ac:dyDescent="0.3">
      <c r="A3000" s="12" t="str">
        <f>HYPERLINK("https://parts-sales.ru/parts/MAN/81617010365","81.61701-0365")</f>
        <v>81.61701-0365</v>
      </c>
      <c r="B3000" s="12" t="str">
        <f>HYPERLINK("https://parts-sales.ru/parts/MAN/81617010365","Заслонка")</f>
        <v>Заслонка</v>
      </c>
      <c r="C3000" s="3" t="s">
        <v>15</v>
      </c>
      <c r="D3000" s="4">
        <v>2786.4</v>
      </c>
      <c r="E3000" s="4">
        <v>573</v>
      </c>
      <c r="F3000" s="8">
        <v>0.79</v>
      </c>
      <c r="H3000" s="11"/>
      <c r="I3000" s="11"/>
      <c r="J3000" s="11"/>
    </row>
    <row r="3001" spans="1:10" ht="15.75" x14ac:dyDescent="0.3">
      <c r="A3001" s="13" t="str">
        <f>HYPERLINK("https://parts-sales.ru/parts/MAN/81617010381","81.61701-0381")</f>
        <v>81.61701-0381</v>
      </c>
      <c r="B3001" s="13" t="str">
        <f>HYPERLINK("https://parts-sales.ru/parts/MAN/81617010381","Место хранения")</f>
        <v>Место хранения</v>
      </c>
      <c r="C3001" s="5" t="s">
        <v>15</v>
      </c>
      <c r="D3001" s="6">
        <v>2637.6</v>
      </c>
      <c r="E3001" s="6">
        <v>535</v>
      </c>
      <c r="F3001" s="9">
        <v>0.8</v>
      </c>
      <c r="H3001" s="11"/>
      <c r="I3001" s="11"/>
      <c r="J3001" s="11"/>
    </row>
    <row r="3002" spans="1:10" ht="15.75" x14ac:dyDescent="0.3">
      <c r="A3002" s="12" t="str">
        <f>HYPERLINK("https://parts-sales.ru/parts/MAN/81617010388","81.61701-0388")</f>
        <v>81.61701-0388</v>
      </c>
      <c r="B3002" s="12" t="str">
        <f>HYPERLINK("https://parts-sales.ru/parts/MAN/81617010388","Прокладка F99 L/R17,34,39,44,45,49")</f>
        <v>Прокладка F99 L/R17,34,39,44,45,49</v>
      </c>
      <c r="C3002" s="3" t="s">
        <v>15</v>
      </c>
      <c r="D3002" s="4">
        <v>1122</v>
      </c>
      <c r="E3002" s="4">
        <v>249</v>
      </c>
      <c r="F3002" s="8">
        <v>0.78</v>
      </c>
      <c r="H3002" s="11"/>
      <c r="I3002" s="11"/>
      <c r="J3002" s="11"/>
    </row>
    <row r="3003" spans="1:10" ht="15.75" x14ac:dyDescent="0.3">
      <c r="A3003" s="13" t="str">
        <f>HYPERLINK("https://parts-sales.ru/parts/MAN/81617010522","81.61701-0522")</f>
        <v>81.61701-0522</v>
      </c>
      <c r="B3003" s="13" t="str">
        <f>HYPERLINK("https://parts-sales.ru/parts/MAN/81617010522","Прокладка Место хранения")</f>
        <v>Прокладка Место хранения</v>
      </c>
      <c r="C3003" s="5" t="s">
        <v>15</v>
      </c>
      <c r="D3003" s="6">
        <v>2095.1999999999998</v>
      </c>
      <c r="E3003" s="6">
        <v>432</v>
      </c>
      <c r="F3003" s="9">
        <v>0.79</v>
      </c>
      <c r="H3003" s="11"/>
      <c r="I3003" s="11"/>
      <c r="J3003" s="11"/>
    </row>
    <row r="3004" spans="1:10" ht="15.75" x14ac:dyDescent="0.3">
      <c r="A3004" s="12" t="str">
        <f>HYPERLINK("https://parts-sales.ru/parts/MAN/81617016316","81.61701-6316")</f>
        <v>81.61701-6316</v>
      </c>
      <c r="B3004" s="12" t="str">
        <f>HYPERLINK("https://parts-sales.ru/parts/MAN/81617016316","Несущая балка Средняя часть")</f>
        <v>Несущая балка Средняя часть</v>
      </c>
      <c r="C3004" s="3" t="s">
        <v>15</v>
      </c>
      <c r="D3004" s="4">
        <v>8388</v>
      </c>
      <c r="E3004" s="4">
        <v>2580</v>
      </c>
      <c r="F3004" s="8">
        <v>0.69</v>
      </c>
      <c r="H3004" s="11"/>
      <c r="I3004" s="11"/>
      <c r="J3004" s="11"/>
    </row>
    <row r="3005" spans="1:10" ht="15.75" x14ac:dyDescent="0.3">
      <c r="A3005" s="13" t="str">
        <f>HYPERLINK("https://parts-sales.ru/parts/MAN/81617016349","81.61701-6349")</f>
        <v>81.61701-6349</v>
      </c>
      <c r="B3005" s="13" t="str">
        <f>HYPERLINK("https://parts-sales.ru/parts/MAN/81617016349","Держатель")</f>
        <v>Держатель</v>
      </c>
      <c r="C3005" s="5" t="s">
        <v>15</v>
      </c>
      <c r="D3005" s="6">
        <v>1717.2</v>
      </c>
      <c r="E3005" s="6">
        <v>346</v>
      </c>
      <c r="F3005" s="9">
        <v>0.8</v>
      </c>
      <c r="H3005" s="11"/>
      <c r="I3005" s="11"/>
      <c r="J3005" s="11"/>
    </row>
    <row r="3006" spans="1:10" ht="15.75" x14ac:dyDescent="0.3">
      <c r="A3006" s="12" t="str">
        <f>HYPERLINK("https://parts-sales.ru/parts/MAN/81617016505","81.61701-6505")</f>
        <v>81.61701-6505</v>
      </c>
      <c r="B3006" s="12" t="str">
        <f>HYPERLINK("https://parts-sales.ru/parts/MAN/81617016505","Место хранения")</f>
        <v>Место хранения</v>
      </c>
      <c r="C3006" s="3" t="s">
        <v>15</v>
      </c>
      <c r="D3006" s="4">
        <v>18314.400000000001</v>
      </c>
      <c r="E3006" s="4">
        <v>4280</v>
      </c>
      <c r="F3006" s="8">
        <v>0.77</v>
      </c>
      <c r="H3006" s="11"/>
      <c r="I3006" s="11"/>
      <c r="J3006" s="11"/>
    </row>
    <row r="3007" spans="1:10" ht="15.75" x14ac:dyDescent="0.3">
      <c r="A3007" s="13" t="str">
        <f>HYPERLINK("https://parts-sales.ru/parts/MAN/81617016725","81.61701-6725")</f>
        <v>81.61701-6725</v>
      </c>
      <c r="B3007" s="13" t="str">
        <f>HYPERLINK("https://parts-sales.ru/parts/MAN/81617016725","Обшивка CC/NN/DN/TN/TM")</f>
        <v>Обшивка CC/NN/DN/TN/TM</v>
      </c>
      <c r="C3007" s="5" t="s">
        <v>15</v>
      </c>
      <c r="D3007" s="6">
        <v>15666</v>
      </c>
      <c r="E3007" s="6">
        <v>3132</v>
      </c>
      <c r="F3007" s="9">
        <v>0.8</v>
      </c>
      <c r="H3007" s="11"/>
      <c r="I3007" s="11"/>
      <c r="J3007" s="11"/>
    </row>
    <row r="3008" spans="1:10" ht="15.75" x14ac:dyDescent="0.3">
      <c r="A3008" s="12" t="str">
        <f>HYPERLINK("https://parts-sales.ru/parts/MAN/81617016726","81.61701-6726")</f>
        <v>81.61701-6726</v>
      </c>
      <c r="B3008" s="12" t="str">
        <f>HYPERLINK("https://parts-sales.ru/parts/MAN/81617016726","Обшивка CC/NN/DN/TN/TM")</f>
        <v>Обшивка CC/NN/DN/TN/TM</v>
      </c>
      <c r="C3008" s="3" t="s">
        <v>15</v>
      </c>
      <c r="D3008" s="4">
        <v>13539.6</v>
      </c>
      <c r="E3008" s="4">
        <v>2999</v>
      </c>
      <c r="F3008" s="8">
        <v>0.78</v>
      </c>
      <c r="H3008" s="11"/>
      <c r="I3008" s="11"/>
      <c r="J3008" s="11"/>
    </row>
    <row r="3009" spans="1:10" ht="15.75" x14ac:dyDescent="0.3">
      <c r="A3009" s="13" t="str">
        <f>HYPERLINK("https://parts-sales.ru/parts/MAN/81617100057","81.61710-0057")</f>
        <v>81.61710-0057</v>
      </c>
      <c r="B3009" s="13" t="str">
        <f>HYPERLINK("https://parts-sales.ru/parts/MAN/81617100057","Заслонка")</f>
        <v>Заслонка</v>
      </c>
      <c r="C3009" s="5" t="s">
        <v>15</v>
      </c>
      <c r="D3009" s="6">
        <v>525.6</v>
      </c>
      <c r="E3009" s="6">
        <v>126</v>
      </c>
      <c r="F3009" s="9">
        <v>0.76</v>
      </c>
      <c r="H3009" s="11"/>
      <c r="I3009" s="11"/>
      <c r="J3009" s="11"/>
    </row>
    <row r="3010" spans="1:10" ht="15.75" x14ac:dyDescent="0.3">
      <c r="A3010" s="12" t="str">
        <f>HYPERLINK("https://parts-sales.ru/parts/MAN/81617100136","81.61710-0136")</f>
        <v>81.61710-0136</v>
      </c>
      <c r="B3010" s="12" t="str">
        <f>HYPERLINK("https://parts-sales.ru/parts/MAN/81617100136","Заслонка 12")</f>
        <v>Заслонка 12</v>
      </c>
      <c r="C3010" s="3" t="s">
        <v>15</v>
      </c>
      <c r="D3010" s="4">
        <v>3237.6</v>
      </c>
      <c r="E3010" s="4">
        <v>788</v>
      </c>
      <c r="F3010" s="8">
        <v>0.76</v>
      </c>
      <c r="H3010" s="11"/>
      <c r="I3010" s="11"/>
      <c r="J3010" s="11"/>
    </row>
    <row r="3011" spans="1:10" ht="15.75" x14ac:dyDescent="0.3">
      <c r="A3011" s="13" t="str">
        <f>HYPERLINK("https://parts-sales.ru/parts/MAN/81617105018","81.61710-5018")</f>
        <v>81.61710-5018</v>
      </c>
      <c r="B3011" s="13" t="str">
        <f>HYPERLINK("https://parts-sales.ru/parts/MAN/81617105018","Декоративная кромка Автом. с левост. рас")</f>
        <v>Декоративная кромка Автом. с левост. рас</v>
      </c>
      <c r="C3011" s="5" t="s">
        <v>15</v>
      </c>
      <c r="D3011" s="6">
        <v>5612.4</v>
      </c>
      <c r="E3011" s="6">
        <v>1209</v>
      </c>
      <c r="F3011" s="9">
        <v>0.78</v>
      </c>
      <c r="H3011" s="11"/>
      <c r="I3011" s="11"/>
      <c r="J3011" s="11"/>
    </row>
    <row r="3012" spans="1:10" ht="15.75" x14ac:dyDescent="0.3">
      <c r="A3012" s="12" t="str">
        <f>HYPERLINK("https://parts-sales.ru/parts/MAN/81617105051","81.61710-5051")</f>
        <v>81.61710-5051</v>
      </c>
      <c r="B3012" s="12" t="str">
        <f>HYPERLINK("https://parts-sales.ru/parts/MAN/81617105051","Декоративная кромка Алюминий")</f>
        <v>Декоративная кромка Алюминий</v>
      </c>
      <c r="C3012" s="3" t="s">
        <v>15</v>
      </c>
      <c r="D3012" s="4">
        <v>13796.4</v>
      </c>
      <c r="E3012" s="4">
        <v>2846</v>
      </c>
      <c r="F3012" s="8">
        <v>0.79</v>
      </c>
      <c r="H3012" s="11"/>
      <c r="I3012" s="11"/>
      <c r="J3012" s="11"/>
    </row>
    <row r="3013" spans="1:10" ht="15.75" x14ac:dyDescent="0.3">
      <c r="A3013" s="13" t="str">
        <f>HYPERLINK("https://parts-sales.ru/parts/MAN/81617105057","81.61710-5057")</f>
        <v>81.61710-5057</v>
      </c>
      <c r="B3013" s="13" t="str">
        <f>HYPERLINK("https://parts-sales.ru/parts/MAN/81617105057","Декоративная кромка Автом. с левост. рас")</f>
        <v>Декоративная кромка Автом. с левост. рас</v>
      </c>
      <c r="C3013" s="5" t="s">
        <v>15</v>
      </c>
      <c r="D3013" s="6">
        <v>5947.2</v>
      </c>
      <c r="E3013" s="6">
        <v>1244</v>
      </c>
      <c r="F3013" s="9">
        <v>0.79</v>
      </c>
      <c r="H3013" s="11"/>
      <c r="I3013" s="11"/>
      <c r="J3013" s="11"/>
    </row>
    <row r="3014" spans="1:10" ht="15.75" x14ac:dyDescent="0.3">
      <c r="A3014" s="12" t="str">
        <f>HYPERLINK("https://parts-sales.ru/parts/MAN/81617106030","81.61710-6030")</f>
        <v>81.61710-6030</v>
      </c>
      <c r="B3014" s="12" t="str">
        <f>HYPERLINK("https://parts-sales.ru/parts/MAN/81617106030","Инструментальная панель со стороны водит")</f>
        <v>Инструментальная панель со стороны водит</v>
      </c>
      <c r="C3014" s="3" t="s">
        <v>15</v>
      </c>
      <c r="D3014" s="4">
        <v>42733.2</v>
      </c>
      <c r="E3014" s="4">
        <v>8647</v>
      </c>
      <c r="F3014" s="8">
        <v>0.8</v>
      </c>
      <c r="H3014" s="11"/>
      <c r="I3014" s="11"/>
      <c r="J3014" s="11"/>
    </row>
    <row r="3015" spans="1:10" ht="15.75" x14ac:dyDescent="0.3">
      <c r="A3015" s="13" t="str">
        <f>HYPERLINK("https://parts-sales.ru/parts/MAN/81619100033","81.61910-0033")</f>
        <v>81.61910-0033</v>
      </c>
      <c r="B3015" s="13" t="str">
        <f>HYPERLINK("https://parts-sales.ru/parts/MAN/81619100033","Салонный фильтр угольный")</f>
        <v>Салонный фильтр угольный</v>
      </c>
      <c r="C3015" s="5" t="s">
        <v>27</v>
      </c>
      <c r="D3015" s="6">
        <v>10663.2</v>
      </c>
      <c r="E3015" s="6">
        <v>3160</v>
      </c>
      <c r="F3015" s="9">
        <v>0.7</v>
      </c>
      <c r="H3015" s="11"/>
      <c r="I3015" s="11"/>
      <c r="J3015" s="11"/>
    </row>
    <row r="3016" spans="1:10" ht="15.75" x14ac:dyDescent="0.3">
      <c r="A3016" s="12" t="str">
        <f>HYPERLINK("https://parts-sales.ru/parts/MAN/81619100046","81.61910-0046")</f>
        <v>81.61910-0046</v>
      </c>
      <c r="B3016" s="12" t="str">
        <f>HYPERLINK("https://parts-sales.ru/parts/MAN/81619100046","Салонный фильтр угольный")</f>
        <v>Салонный фильтр угольный</v>
      </c>
      <c r="C3016" s="3" t="s">
        <v>27</v>
      </c>
      <c r="D3016" s="4">
        <v>4772.38</v>
      </c>
      <c r="E3016" s="4">
        <v>2039</v>
      </c>
      <c r="F3016" s="8">
        <v>0.56999999999999995</v>
      </c>
      <c r="H3016" s="11"/>
      <c r="I3016" s="11"/>
      <c r="J3016" s="11"/>
    </row>
    <row r="3017" spans="1:10" ht="15.75" x14ac:dyDescent="0.3">
      <c r="A3017" s="13" t="str">
        <f>HYPERLINK("https://parts-sales.ru/parts/MAN/81619200021","81.61920-0021")</f>
        <v>81.61920-0021</v>
      </c>
      <c r="B3017" s="13" t="str">
        <f>HYPERLINK("https://parts-sales.ru/parts/MAN/81619200021","Теплообменник")</f>
        <v>Теплообменник</v>
      </c>
      <c r="C3017" s="5" t="s">
        <v>27</v>
      </c>
      <c r="D3017" s="6">
        <v>15006</v>
      </c>
      <c r="E3017" s="6">
        <v>3186</v>
      </c>
      <c r="F3017" s="9">
        <v>0.79</v>
      </c>
      <c r="H3017" s="11"/>
      <c r="I3017" s="11"/>
      <c r="J3017" s="11"/>
    </row>
    <row r="3018" spans="1:10" ht="15.75" x14ac:dyDescent="0.3">
      <c r="A3018" s="12" t="str">
        <f>HYPERLINK("https://parts-sales.ru/parts/MAN/81619200036","81.61920-0036")</f>
        <v>81.61920-0036</v>
      </c>
      <c r="B3018" s="12" t="str">
        <f>HYPERLINK("https://parts-sales.ru/parts/MAN/81619200036","Конденсатор хладагента")</f>
        <v>Конденсатор хладагента</v>
      </c>
      <c r="C3018" s="3" t="s">
        <v>27</v>
      </c>
      <c r="D3018" s="4">
        <v>117746.4</v>
      </c>
      <c r="E3018" s="4">
        <v>28233</v>
      </c>
      <c r="F3018" s="8">
        <v>0.76</v>
      </c>
      <c r="H3018" s="11"/>
      <c r="I3018" s="11"/>
      <c r="J3018" s="11"/>
    </row>
    <row r="3019" spans="1:10" ht="15.75" x14ac:dyDescent="0.3">
      <c r="A3019" s="13" t="str">
        <f>HYPERLINK("https://parts-sales.ru/parts/MAN/81619300038","81.61930-0038")</f>
        <v>81.61930-0038</v>
      </c>
      <c r="B3019" s="13" t="str">
        <f>HYPERLINK("https://parts-sales.ru/parts/MAN/81619300038","Получаша")</f>
        <v>Получаша</v>
      </c>
      <c r="C3019" s="5" t="s">
        <v>27</v>
      </c>
      <c r="D3019" s="6">
        <v>2637.6</v>
      </c>
      <c r="E3019" s="6">
        <v>408</v>
      </c>
      <c r="F3019" s="9">
        <v>0.85</v>
      </c>
      <c r="H3019" s="11"/>
      <c r="I3019" s="11"/>
      <c r="J3019" s="11"/>
    </row>
    <row r="3020" spans="1:10" ht="15.75" x14ac:dyDescent="0.3">
      <c r="A3020" s="12" t="str">
        <f>HYPERLINK("https://parts-sales.ru/parts/MAN/81619300041","81.61930-0041")</f>
        <v>81.61930-0041</v>
      </c>
      <c r="B3020" s="12" t="str">
        <f>HYPERLINK("https://parts-sales.ru/parts/MAN/81619300041","Получаша")</f>
        <v>Получаша</v>
      </c>
      <c r="C3020" s="3" t="s">
        <v>27</v>
      </c>
      <c r="D3020" s="4">
        <v>2637.6</v>
      </c>
      <c r="E3020" s="4">
        <v>658</v>
      </c>
      <c r="F3020" s="8">
        <v>0.75</v>
      </c>
      <c r="H3020" s="11"/>
      <c r="I3020" s="11"/>
      <c r="J3020" s="11"/>
    </row>
    <row r="3021" spans="1:10" ht="15.75" x14ac:dyDescent="0.3">
      <c r="A3021" s="13" t="str">
        <f>HYPERLINK("https://parts-sales.ru/parts/MAN/81619306074","81.61930-6074")</f>
        <v>81.61930-6074</v>
      </c>
      <c r="B3021" s="13" t="str">
        <f>HYPERLINK("https://parts-sales.ru/parts/MAN/81619306074","Вентилятор")</f>
        <v>Вентилятор</v>
      </c>
      <c r="C3021" s="5" t="s">
        <v>27</v>
      </c>
      <c r="D3021" s="6">
        <v>87646.8</v>
      </c>
      <c r="E3021" s="6">
        <v>18190</v>
      </c>
      <c r="F3021" s="9">
        <v>0.79</v>
      </c>
      <c r="H3021" s="11"/>
      <c r="I3021" s="11"/>
      <c r="J3021" s="11"/>
    </row>
    <row r="3022" spans="1:10" ht="15.75" x14ac:dyDescent="0.3">
      <c r="A3022" s="12" t="str">
        <f>HYPERLINK("https://parts-sales.ru/parts/MAN/81619306088","81.61930-6088")</f>
        <v>81.61930-6088</v>
      </c>
      <c r="B3022" s="12" t="str">
        <f>HYPERLINK("https://parts-sales.ru/parts/MAN/81619306088","Вентилятор")</f>
        <v>Вентилятор</v>
      </c>
      <c r="C3022" s="3" t="s">
        <v>27</v>
      </c>
      <c r="D3022" s="4">
        <v>67490.399999999994</v>
      </c>
      <c r="E3022" s="4">
        <v>14672</v>
      </c>
      <c r="F3022" s="8">
        <v>0.78</v>
      </c>
      <c r="H3022" s="11"/>
      <c r="I3022" s="11"/>
      <c r="J3022" s="11"/>
    </row>
    <row r="3023" spans="1:10" ht="15.75" x14ac:dyDescent="0.3">
      <c r="A3023" s="13" t="str">
        <f>HYPERLINK("https://parts-sales.ru/parts/MAN/81619400105","81.61940-0105")</f>
        <v>81.61940-0105</v>
      </c>
      <c r="B3023" s="13" t="str">
        <f>HYPERLINK("https://parts-sales.ru/parts/MAN/81619400105","Держатель")</f>
        <v>Держатель</v>
      </c>
      <c r="C3023" s="5" t="s">
        <v>27</v>
      </c>
      <c r="D3023" s="6">
        <v>2517.6</v>
      </c>
      <c r="E3023" s="6">
        <v>554</v>
      </c>
      <c r="F3023" s="9">
        <v>0.78</v>
      </c>
      <c r="H3023" s="11"/>
      <c r="I3023" s="11"/>
      <c r="J3023" s="11"/>
    </row>
    <row r="3024" spans="1:10" ht="15.75" x14ac:dyDescent="0.3">
      <c r="A3024" s="12" t="str">
        <f>HYPERLINK("https://parts-sales.ru/parts/MAN/81619410078","81.61941-0078")</f>
        <v>81.61941-0078</v>
      </c>
      <c r="B3024" s="12" t="str">
        <f>HYPERLINK("https://parts-sales.ru/parts/MAN/81619410078","Скоба для крепления труб 39-42X11,5-ST-A")</f>
        <v>Скоба для крепления труб 39-42X11,5-ST-A</v>
      </c>
      <c r="C3024" s="3" t="s">
        <v>27</v>
      </c>
      <c r="D3024" s="4">
        <v>2991.6</v>
      </c>
      <c r="E3024" s="4">
        <v>336</v>
      </c>
      <c r="F3024" s="8">
        <v>0.89</v>
      </c>
      <c r="H3024" s="11"/>
      <c r="I3024" s="11"/>
      <c r="J3024" s="11"/>
    </row>
    <row r="3025" spans="1:10" ht="15.75" x14ac:dyDescent="0.3">
      <c r="A3025" s="13" t="str">
        <f>HYPERLINK("https://parts-sales.ru/parts/MAN/81619410275","81.61941-0275")</f>
        <v>81.61941-0275</v>
      </c>
      <c r="B3025" s="13" t="str">
        <f>HYPERLINK("https://parts-sales.ru/parts/MAN/81619410275","Крепежная скоба 2X18-14-PP-SW")</f>
        <v>Крепежная скоба 2X18-14-PP-SW</v>
      </c>
      <c r="C3025" s="5" t="s">
        <v>27</v>
      </c>
      <c r="D3025" s="6">
        <v>435.6</v>
      </c>
      <c r="E3025" s="6">
        <v>23</v>
      </c>
      <c r="F3025" s="9">
        <v>0.95</v>
      </c>
      <c r="H3025" s="11"/>
      <c r="I3025" s="11"/>
      <c r="J3025" s="11"/>
    </row>
    <row r="3026" spans="1:10" ht="15.75" x14ac:dyDescent="0.3">
      <c r="A3026" s="12" t="str">
        <f>HYPERLINK("https://parts-sales.ru/parts/MAN/81619410315","81.61941-0315")</f>
        <v>81.61941-0315</v>
      </c>
      <c r="B3026" s="12" t="str">
        <f>HYPERLINK("https://parts-sales.ru/parts/MAN/81619410315","Держатель")</f>
        <v>Держатель</v>
      </c>
      <c r="C3026" s="3" t="s">
        <v>27</v>
      </c>
      <c r="D3026" s="4">
        <v>2174.4</v>
      </c>
      <c r="E3026" s="4">
        <v>364</v>
      </c>
      <c r="F3026" s="8">
        <v>0.83</v>
      </c>
      <c r="H3026" s="11"/>
      <c r="I3026" s="11"/>
      <c r="J3026" s="11"/>
    </row>
    <row r="3027" spans="1:10" ht="15.75" x14ac:dyDescent="0.3">
      <c r="A3027" s="13" t="str">
        <f>HYPERLINK("https://parts-sales.ru/parts/MAN/81619410319","81.61941-0319")</f>
        <v>81.61941-0319</v>
      </c>
      <c r="B3027" s="13" t="str">
        <f>HYPERLINK("https://parts-sales.ru/parts/MAN/81619410319","Держатель")</f>
        <v>Держатель</v>
      </c>
      <c r="C3027" s="5" t="s">
        <v>27</v>
      </c>
      <c r="D3027" s="6">
        <v>775.2</v>
      </c>
      <c r="E3027" s="6">
        <v>176</v>
      </c>
      <c r="F3027" s="9">
        <v>0.77</v>
      </c>
      <c r="H3027" s="11"/>
      <c r="I3027" s="11"/>
      <c r="J3027" s="11"/>
    </row>
    <row r="3028" spans="1:10" ht="15.75" x14ac:dyDescent="0.3">
      <c r="A3028" s="12" t="str">
        <f>HYPERLINK("https://parts-sales.ru/parts/MAN/81619410350","81.61941-0350")</f>
        <v>81.61941-0350</v>
      </c>
      <c r="B3028" s="12" t="str">
        <f>HYPERLINK("https://parts-sales.ru/parts/MAN/81619410350","Держатель")</f>
        <v>Держатель</v>
      </c>
      <c r="C3028" s="3" t="s">
        <v>27</v>
      </c>
      <c r="D3028" s="4">
        <v>1462.8</v>
      </c>
      <c r="E3028" s="4">
        <v>16</v>
      </c>
      <c r="F3028" s="8">
        <v>0.99</v>
      </c>
      <c r="H3028" s="11"/>
      <c r="I3028" s="11"/>
      <c r="J3028" s="11"/>
    </row>
    <row r="3029" spans="1:10" ht="15.75" x14ac:dyDescent="0.3">
      <c r="A3029" s="13" t="str">
        <f>HYPERLINK("https://parts-sales.ru/parts/MAN/81619410361","81.61941-0361")</f>
        <v>81.61941-0361</v>
      </c>
      <c r="B3029" s="13" t="str">
        <f>HYPERLINK("https://parts-sales.ru/parts/MAN/81619410361","Держатель")</f>
        <v>Держатель</v>
      </c>
      <c r="C3029" s="5" t="s">
        <v>27</v>
      </c>
      <c r="D3029" s="6">
        <v>1262.4000000000001</v>
      </c>
      <c r="E3029" s="6">
        <v>297</v>
      </c>
      <c r="F3029" s="9">
        <v>0.76</v>
      </c>
      <c r="H3029" s="11"/>
      <c r="I3029" s="11"/>
      <c r="J3029" s="11"/>
    </row>
    <row r="3030" spans="1:10" ht="15.75" x14ac:dyDescent="0.3">
      <c r="A3030" s="12" t="str">
        <f>HYPERLINK("https://parts-sales.ru/parts/MAN/81619414010","81.61941-4010")</f>
        <v>81.61941-4010</v>
      </c>
      <c r="B3030" s="12" t="str">
        <f>HYPERLINK("https://parts-sales.ru/parts/MAN/81619414010","Держатель")</f>
        <v>Держатель</v>
      </c>
      <c r="C3030" s="3" t="s">
        <v>27</v>
      </c>
      <c r="D3030" s="4">
        <v>2174.4</v>
      </c>
      <c r="E3030" s="4">
        <v>529</v>
      </c>
      <c r="F3030" s="8">
        <v>0.76</v>
      </c>
      <c r="H3030" s="11"/>
      <c r="I3030" s="11"/>
      <c r="J3030" s="11"/>
    </row>
    <row r="3031" spans="1:10" ht="15.75" x14ac:dyDescent="0.3">
      <c r="A3031" s="13" t="str">
        <f>HYPERLINK("https://parts-sales.ru/parts/MAN/81619414016","81.61941-4016")</f>
        <v>81.61941-4016</v>
      </c>
      <c r="B3031" s="13" t="str">
        <f>HYPERLINK("https://parts-sales.ru/parts/MAN/81619414016","Держатель")</f>
        <v>Держатель</v>
      </c>
      <c r="C3031" s="5" t="s">
        <v>27</v>
      </c>
      <c r="D3031" s="6">
        <v>1299.47</v>
      </c>
      <c r="E3031" s="6">
        <v>550</v>
      </c>
      <c r="F3031" s="9">
        <v>0.57999999999999996</v>
      </c>
      <c r="H3031" s="11"/>
      <c r="I3031" s="11"/>
      <c r="J3031" s="11"/>
    </row>
    <row r="3032" spans="1:10" ht="15.75" x14ac:dyDescent="0.3">
      <c r="A3032" s="12" t="str">
        <f>HYPERLINK("https://parts-sales.ru/parts/MAN/81619420080","81.61942-0080")</f>
        <v>81.61942-0080</v>
      </c>
      <c r="B3032" s="12" t="str">
        <f>HYPERLINK("https://parts-sales.ru/parts/MAN/81619420080","Запорный элемент")</f>
        <v>Запорный элемент</v>
      </c>
      <c r="C3032" s="3" t="s">
        <v>27</v>
      </c>
      <c r="D3032" s="4">
        <v>732.64</v>
      </c>
      <c r="E3032" s="4">
        <v>126</v>
      </c>
      <c r="F3032" s="8">
        <v>0.83</v>
      </c>
      <c r="H3032" s="11"/>
      <c r="I3032" s="11"/>
      <c r="J3032" s="11"/>
    </row>
    <row r="3033" spans="1:10" ht="15.75" x14ac:dyDescent="0.3">
      <c r="A3033" s="13" t="str">
        <f>HYPERLINK("https://parts-sales.ru/parts/MAN/81619490026","81.61949-0026")</f>
        <v>81.61949-0026</v>
      </c>
      <c r="B3033" s="13" t="str">
        <f>HYPERLINK("https://parts-sales.ru/parts/MAN/81619490026","Кожух отопителя")</f>
        <v>Кожух отопителя</v>
      </c>
      <c r="C3033" s="5" t="s">
        <v>27</v>
      </c>
      <c r="D3033" s="6">
        <v>4017.6</v>
      </c>
      <c r="E3033" s="6">
        <v>2035</v>
      </c>
      <c r="F3033" s="9">
        <v>0.49</v>
      </c>
      <c r="H3033" s="11"/>
      <c r="I3033" s="11"/>
      <c r="J3033" s="11"/>
    </row>
    <row r="3034" spans="1:10" ht="15.75" x14ac:dyDescent="0.3">
      <c r="A3034" s="12" t="str">
        <f>HYPERLINK("https://parts-sales.ru/parts/MAN/81619490039","81.61949-0039")</f>
        <v>81.61949-0039</v>
      </c>
      <c r="B3034" s="12" t="str">
        <f>HYPERLINK("https://parts-sales.ru/parts/MAN/81619490039","Крышка с уплотнением")</f>
        <v>Крышка с уплотнением</v>
      </c>
      <c r="C3034" s="3" t="s">
        <v>27</v>
      </c>
      <c r="D3034" s="4">
        <v>8246.4</v>
      </c>
      <c r="E3034" s="4">
        <v>4178</v>
      </c>
      <c r="F3034" s="8">
        <v>0.49</v>
      </c>
      <c r="H3034" s="11"/>
      <c r="I3034" s="11"/>
      <c r="J3034" s="11"/>
    </row>
    <row r="3035" spans="1:10" ht="15.75" x14ac:dyDescent="0.3">
      <c r="A3035" s="13" t="str">
        <f>HYPERLINK("https://parts-sales.ru/parts/MAN/81619490041","81.61949-0041")</f>
        <v>81.61949-0041</v>
      </c>
      <c r="B3035" s="13" t="str">
        <f>HYPERLINK("https://parts-sales.ru/parts/MAN/81619490041","Впускной раструб L10-37")</f>
        <v>Впускной раструб L10-37</v>
      </c>
      <c r="C3035" s="5" t="s">
        <v>27</v>
      </c>
      <c r="D3035" s="6">
        <v>2570.4</v>
      </c>
      <c r="E3035" s="6">
        <v>1172</v>
      </c>
      <c r="F3035" s="9">
        <v>0.54</v>
      </c>
      <c r="H3035" s="11"/>
      <c r="I3035" s="11"/>
      <c r="J3035" s="11"/>
    </row>
    <row r="3036" spans="1:10" ht="15.75" x14ac:dyDescent="0.3">
      <c r="A3036" s="12" t="str">
        <f>HYPERLINK("https://parts-sales.ru/parts/MAN/81619500266","81.61950-0266")</f>
        <v>81.61950-0266</v>
      </c>
      <c r="B3036" s="12" t="str">
        <f>HYPERLINK("https://parts-sales.ru/parts/MAN/81619500266","Воздушный канал")</f>
        <v>Воздушный канал</v>
      </c>
      <c r="C3036" s="3" t="s">
        <v>27</v>
      </c>
      <c r="D3036" s="4">
        <v>2426.84</v>
      </c>
      <c r="E3036" s="4">
        <v>431</v>
      </c>
      <c r="F3036" s="8">
        <v>0.82</v>
      </c>
      <c r="H3036" s="11"/>
      <c r="I3036" s="11"/>
      <c r="J3036" s="11"/>
    </row>
    <row r="3037" spans="1:10" ht="15.75" x14ac:dyDescent="0.3">
      <c r="A3037" s="13" t="str">
        <f>HYPERLINK("https://parts-sales.ru/parts/MAN/81619500274","81.61950-0274")</f>
        <v>81.61950-0274</v>
      </c>
      <c r="B3037" s="13" t="str">
        <f>HYPERLINK("https://parts-sales.ru/parts/MAN/81619500274","Канал дефростера")</f>
        <v>Канал дефростера</v>
      </c>
      <c r="C3037" s="5" t="s">
        <v>27</v>
      </c>
      <c r="D3037" s="6">
        <v>3837.6</v>
      </c>
      <c r="E3037" s="6">
        <v>807</v>
      </c>
      <c r="F3037" s="9">
        <v>0.79</v>
      </c>
      <c r="H3037" s="11"/>
      <c r="I3037" s="11"/>
      <c r="J3037" s="11"/>
    </row>
    <row r="3038" spans="1:10" ht="15.75" x14ac:dyDescent="0.3">
      <c r="A3038" s="12" t="str">
        <f>HYPERLINK("https://parts-sales.ru/parts/MAN/81619500340","81.61950-0340")</f>
        <v>81.61950-0340</v>
      </c>
      <c r="B3038" s="12" t="str">
        <f>HYPERLINK("https://parts-sales.ru/parts/MAN/81619500340","Уплотнение")</f>
        <v>Уплотнение</v>
      </c>
      <c r="C3038" s="3" t="s">
        <v>27</v>
      </c>
      <c r="D3038" s="4">
        <v>3110.4</v>
      </c>
      <c r="E3038" s="4">
        <v>1209</v>
      </c>
      <c r="F3038" s="8">
        <v>0.61</v>
      </c>
      <c r="H3038" s="11"/>
      <c r="I3038" s="11"/>
      <c r="J3038" s="11"/>
    </row>
    <row r="3039" spans="1:10" ht="15.75" x14ac:dyDescent="0.3">
      <c r="A3039" s="13" t="str">
        <f>HYPERLINK("https://parts-sales.ru/parts/MAN/81619500347","81.61950-0347")</f>
        <v>81.61950-0347</v>
      </c>
      <c r="B3039" s="13" t="str">
        <f>HYPERLINK("https://parts-sales.ru/parts/MAN/81619500347","Воздушный канал")</f>
        <v>Воздушный канал</v>
      </c>
      <c r="C3039" s="5" t="s">
        <v>27</v>
      </c>
      <c r="D3039" s="6">
        <v>1576.8</v>
      </c>
      <c r="E3039" s="6">
        <v>240</v>
      </c>
      <c r="F3039" s="9">
        <v>0.85</v>
      </c>
      <c r="H3039" s="11"/>
      <c r="I3039" s="11"/>
      <c r="J3039" s="11"/>
    </row>
    <row r="3040" spans="1:10" ht="15.75" x14ac:dyDescent="0.3">
      <c r="A3040" s="12" t="str">
        <f>HYPERLINK("https://parts-sales.ru/parts/MAN/81619500377","81.61950-0377")</f>
        <v>81.61950-0377</v>
      </c>
      <c r="B3040" s="12" t="str">
        <f>HYPERLINK("https://parts-sales.ru/parts/MAN/81619500377","Воздухопровод")</f>
        <v>Воздухопровод</v>
      </c>
      <c r="C3040" s="3" t="s">
        <v>27</v>
      </c>
      <c r="D3040" s="4">
        <v>1789.05</v>
      </c>
      <c r="E3040" s="4">
        <v>1067</v>
      </c>
      <c r="F3040" s="8">
        <v>0.4</v>
      </c>
      <c r="H3040" s="11"/>
      <c r="I3040" s="11"/>
      <c r="J3040" s="11"/>
    </row>
    <row r="3041" spans="1:10" ht="15.75" x14ac:dyDescent="0.3">
      <c r="A3041" s="13" t="str">
        <f>HYPERLINK("https://parts-sales.ru/parts/MAN/81619500383","81.61950-0383")</f>
        <v>81.61950-0383</v>
      </c>
      <c r="B3041" s="13" t="str">
        <f>HYPERLINK("https://parts-sales.ru/parts/MAN/81619500383","Воздухопровод")</f>
        <v>Воздухопровод</v>
      </c>
      <c r="C3041" s="5" t="s">
        <v>27</v>
      </c>
      <c r="D3041" s="6">
        <v>2890.8</v>
      </c>
      <c r="E3041" s="6">
        <v>813</v>
      </c>
      <c r="F3041" s="9">
        <v>0.72</v>
      </c>
      <c r="H3041" s="11"/>
      <c r="I3041" s="11"/>
      <c r="J3041" s="11"/>
    </row>
    <row r="3042" spans="1:10" ht="15.75" x14ac:dyDescent="0.3">
      <c r="A3042" s="12" t="str">
        <f>HYPERLINK("https://parts-sales.ru/parts/MAN/81619500392","81.61950-0392")</f>
        <v>81.61950-0392</v>
      </c>
      <c r="B3042" s="12" t="str">
        <f>HYPERLINK("https://parts-sales.ru/parts/MAN/81619500392","Воздухопровод")</f>
        <v>Воздухопровод</v>
      </c>
      <c r="C3042" s="3" t="s">
        <v>27</v>
      </c>
      <c r="D3042" s="4">
        <v>690</v>
      </c>
      <c r="E3042" s="4">
        <v>407</v>
      </c>
      <c r="F3042" s="8">
        <v>0.41</v>
      </c>
      <c r="H3042" s="11"/>
      <c r="I3042" s="11"/>
      <c r="J3042" s="11"/>
    </row>
    <row r="3043" spans="1:10" ht="15.75" x14ac:dyDescent="0.3">
      <c r="A3043" s="13" t="str">
        <f>HYPERLINK("https://parts-sales.ru/parts/MAN/81619500394","81.61950-0394")</f>
        <v>81.61950-0394</v>
      </c>
      <c r="B3043" s="13" t="str">
        <f>HYPERLINK("https://parts-sales.ru/parts/MAN/81619500394","Воздухопровод")</f>
        <v>Воздухопровод</v>
      </c>
      <c r="C3043" s="5" t="s">
        <v>27</v>
      </c>
      <c r="D3043" s="6">
        <v>932.69</v>
      </c>
      <c r="E3043" s="6">
        <v>559</v>
      </c>
      <c r="F3043" s="9">
        <v>0.4</v>
      </c>
      <c r="H3043" s="11"/>
      <c r="I3043" s="11"/>
      <c r="J3043" s="11"/>
    </row>
    <row r="3044" spans="1:10" ht="15.75" x14ac:dyDescent="0.3">
      <c r="A3044" s="12" t="str">
        <f>HYPERLINK("https://parts-sales.ru/parts/MAN/81619500401","81.61950-0401")</f>
        <v>81.61950-0401</v>
      </c>
      <c r="B3044" s="12" t="str">
        <f>HYPERLINK("https://parts-sales.ru/parts/MAN/81619500401","Воздухопровод")</f>
        <v>Воздухопровод</v>
      </c>
      <c r="C3044" s="3" t="s">
        <v>27</v>
      </c>
      <c r="D3044" s="4">
        <v>1228.8</v>
      </c>
      <c r="E3044" s="4">
        <v>692</v>
      </c>
      <c r="F3044" s="8">
        <v>0.44</v>
      </c>
      <c r="H3044" s="11"/>
      <c r="I3044" s="11"/>
      <c r="J3044" s="11"/>
    </row>
    <row r="3045" spans="1:10" ht="15.75" x14ac:dyDescent="0.3">
      <c r="A3045" s="13" t="str">
        <f>HYPERLINK("https://parts-sales.ru/parts/MAN/81619500426","81.61950-0426")</f>
        <v>81.61950-0426</v>
      </c>
      <c r="B3045" s="13" t="str">
        <f>HYPERLINK("https://parts-sales.ru/parts/MAN/81619500426","Выпускной воздухопровод F99L/R17,34,39,4")</f>
        <v>Выпускной воздухопровод F99L/R17,34,39,4</v>
      </c>
      <c r="C3045" s="5" t="s">
        <v>27</v>
      </c>
      <c r="D3045" s="6">
        <v>3939.49</v>
      </c>
      <c r="E3045" s="6">
        <v>2630</v>
      </c>
      <c r="F3045" s="9">
        <v>0.33</v>
      </c>
      <c r="H3045" s="11"/>
      <c r="I3045" s="11"/>
      <c r="J3045" s="11"/>
    </row>
    <row r="3046" spans="1:10" ht="15.75" x14ac:dyDescent="0.3">
      <c r="A3046" s="12" t="str">
        <f>HYPERLINK("https://parts-sales.ru/parts/MAN/81619500427","81.61950-0427")</f>
        <v>81.61950-0427</v>
      </c>
      <c r="B3046" s="12" t="str">
        <f>HYPERLINK("https://parts-sales.ru/parts/MAN/81619500427","Воздухопровод")</f>
        <v>Воздухопровод</v>
      </c>
      <c r="C3046" s="3" t="s">
        <v>27</v>
      </c>
      <c r="D3046" s="4">
        <v>650.23</v>
      </c>
      <c r="E3046" s="4">
        <v>272</v>
      </c>
      <c r="F3046" s="8">
        <v>0.57999999999999996</v>
      </c>
      <c r="H3046" s="11"/>
      <c r="I3046" s="11"/>
      <c r="J3046" s="11"/>
    </row>
    <row r="3047" spans="1:10" ht="15.75" x14ac:dyDescent="0.3">
      <c r="A3047" s="13" t="str">
        <f>HYPERLINK("https://parts-sales.ru/parts/MAN/81619500428","81.61950-0428")</f>
        <v>81.61950-0428</v>
      </c>
      <c r="B3047" s="13" t="str">
        <f>HYPERLINK("https://parts-sales.ru/parts/MAN/81619500428","Воздухопровод")</f>
        <v>Воздухопровод</v>
      </c>
      <c r="C3047" s="5" t="s">
        <v>27</v>
      </c>
      <c r="D3047" s="6">
        <v>654.21</v>
      </c>
      <c r="E3047" s="6">
        <v>273</v>
      </c>
      <c r="F3047" s="9">
        <v>0.57999999999999996</v>
      </c>
      <c r="H3047" s="11"/>
      <c r="I3047" s="11"/>
      <c r="J3047" s="11"/>
    </row>
    <row r="3048" spans="1:10" ht="15.75" x14ac:dyDescent="0.3">
      <c r="A3048" s="12" t="str">
        <f>HYPERLINK("https://parts-sales.ru/parts/MAN/81619500444","81.61950-0444")</f>
        <v>81.61950-0444</v>
      </c>
      <c r="B3048" s="12" t="str">
        <f>HYPERLINK("https://parts-sales.ru/parts/MAN/81619500444","Воздухопровод")</f>
        <v>Воздухопровод</v>
      </c>
      <c r="C3048" s="3" t="s">
        <v>27</v>
      </c>
      <c r="D3048" s="4">
        <v>1314</v>
      </c>
      <c r="E3048" s="4">
        <v>396</v>
      </c>
      <c r="F3048" s="8">
        <v>0.7</v>
      </c>
      <c r="H3048" s="11"/>
      <c r="I3048" s="11"/>
      <c r="J3048" s="11"/>
    </row>
    <row r="3049" spans="1:10" ht="15.75" x14ac:dyDescent="0.3">
      <c r="A3049" s="13" t="str">
        <f>HYPERLINK("https://parts-sales.ru/parts/MAN/81619500448","81.61950-0448")</f>
        <v>81.61950-0448</v>
      </c>
      <c r="B3049" s="13" t="str">
        <f>HYPERLINK("https://parts-sales.ru/parts/MAN/81619500448","Воздухопровод")</f>
        <v>Воздухопровод</v>
      </c>
      <c r="C3049" s="5" t="s">
        <v>27</v>
      </c>
      <c r="D3049" s="6">
        <v>1334.4</v>
      </c>
      <c r="E3049" s="6">
        <v>272</v>
      </c>
      <c r="F3049" s="9">
        <v>0.8</v>
      </c>
      <c r="H3049" s="11"/>
      <c r="I3049" s="11"/>
      <c r="J3049" s="11"/>
    </row>
    <row r="3050" spans="1:10" ht="15.75" x14ac:dyDescent="0.3">
      <c r="A3050" s="12" t="str">
        <f>HYPERLINK("https://parts-sales.ru/parts/MAN/81619500454","81.61950-0454")</f>
        <v>81.61950-0454</v>
      </c>
      <c r="B3050" s="12" t="str">
        <f>HYPERLINK("https://parts-sales.ru/parts/MAN/81619500454","Заслонка")</f>
        <v>Заслонка</v>
      </c>
      <c r="C3050" s="3" t="s">
        <v>27</v>
      </c>
      <c r="D3050" s="4">
        <v>877.2</v>
      </c>
      <c r="E3050" s="4">
        <v>211</v>
      </c>
      <c r="F3050" s="8">
        <v>0.76</v>
      </c>
      <c r="H3050" s="11"/>
      <c r="I3050" s="11"/>
      <c r="J3050" s="11"/>
    </row>
    <row r="3051" spans="1:10" ht="15.75" x14ac:dyDescent="0.3">
      <c r="A3051" s="13" t="str">
        <f>HYPERLINK("https://parts-sales.ru/parts/MAN/81619500455","81.61950-0455")</f>
        <v>81.61950-0455</v>
      </c>
      <c r="B3051" s="13" t="str">
        <f>HYPERLINK("https://parts-sales.ru/parts/MAN/81619500455","Заслонка")</f>
        <v>Заслонка</v>
      </c>
      <c r="C3051" s="5" t="s">
        <v>27</v>
      </c>
      <c r="D3051" s="6">
        <v>877.2</v>
      </c>
      <c r="E3051" s="6">
        <v>211</v>
      </c>
      <c r="F3051" s="9">
        <v>0.76</v>
      </c>
      <c r="H3051" s="11"/>
      <c r="I3051" s="11"/>
      <c r="J3051" s="11"/>
    </row>
    <row r="3052" spans="1:10" ht="15.75" x14ac:dyDescent="0.3">
      <c r="A3052" s="12" t="str">
        <f>HYPERLINK("https://parts-sales.ru/parts/MAN/81619510047","81.61951-0047")</f>
        <v>81.61951-0047</v>
      </c>
      <c r="B3052" s="12" t="str">
        <f>HYPERLINK("https://parts-sales.ru/parts/MAN/81619510047","Круглое уплотнение 14X1,78-HNBR-75-GN")</f>
        <v>Круглое уплотнение 14X1,78-HNBR-75-GN</v>
      </c>
      <c r="C3052" s="3" t="s">
        <v>27</v>
      </c>
      <c r="D3052" s="4">
        <v>1212</v>
      </c>
      <c r="E3052" s="4">
        <v>431</v>
      </c>
      <c r="F3052" s="8">
        <v>0.64</v>
      </c>
      <c r="H3052" s="11"/>
      <c r="I3052" s="11"/>
      <c r="J3052" s="11"/>
    </row>
    <row r="3053" spans="1:10" ht="15.75" x14ac:dyDescent="0.3">
      <c r="A3053" s="13" t="str">
        <f>HYPERLINK("https://parts-sales.ru/parts/MAN/81619510048","81.61951-0048")</f>
        <v>81.61951-0048</v>
      </c>
      <c r="B3053" s="13" t="str">
        <f>HYPERLINK("https://parts-sales.ru/parts/MAN/81619510048","Круглое уплотнение 17,17X1,78-HNBR-75")</f>
        <v>Круглое уплотнение 17,17X1,78-HNBR-75</v>
      </c>
      <c r="C3053" s="5" t="s">
        <v>27</v>
      </c>
      <c r="D3053" s="6">
        <v>919.2</v>
      </c>
      <c r="E3053" s="6">
        <v>302</v>
      </c>
      <c r="F3053" s="9">
        <v>0.67</v>
      </c>
      <c r="H3053" s="11"/>
      <c r="I3053" s="11"/>
      <c r="J3053" s="11"/>
    </row>
    <row r="3054" spans="1:10" ht="15.75" x14ac:dyDescent="0.3">
      <c r="A3054" s="12" t="str">
        <f>HYPERLINK("https://parts-sales.ru/parts/MAN/81619510062","81.61951-0062")</f>
        <v>81.61951-0062</v>
      </c>
      <c r="B3054" s="12" t="str">
        <f>HYPERLINK("https://parts-sales.ru/parts/MAN/81619510062","Уплотнение")</f>
        <v>Уплотнение</v>
      </c>
      <c r="C3054" s="3" t="s">
        <v>27</v>
      </c>
      <c r="D3054" s="4">
        <v>299.44</v>
      </c>
      <c r="E3054" s="4">
        <v>179</v>
      </c>
      <c r="F3054" s="8">
        <v>0.4</v>
      </c>
      <c r="H3054" s="11"/>
      <c r="I3054" s="11"/>
      <c r="J3054" s="11"/>
    </row>
    <row r="3055" spans="1:10" ht="15.75" x14ac:dyDescent="0.3">
      <c r="A3055" s="13" t="str">
        <f>HYPERLINK("https://parts-sales.ru/parts/MAN/81619510063","81.61951-0063")</f>
        <v>81.61951-0063</v>
      </c>
      <c r="B3055" s="13" t="str">
        <f>HYPERLINK("https://parts-sales.ru/parts/MAN/81619510063","Уплотнение")</f>
        <v>Уплотнение</v>
      </c>
      <c r="C3055" s="5" t="s">
        <v>27</v>
      </c>
      <c r="D3055" s="6">
        <v>1046.4000000000001</v>
      </c>
      <c r="E3055" s="6">
        <v>178</v>
      </c>
      <c r="F3055" s="9">
        <v>0.83</v>
      </c>
      <c r="H3055" s="11"/>
      <c r="I3055" s="11"/>
      <c r="J3055" s="11"/>
    </row>
    <row r="3056" spans="1:10" ht="15.75" x14ac:dyDescent="0.3">
      <c r="A3056" s="12" t="str">
        <f>HYPERLINK("https://parts-sales.ru/parts/MAN/81619600724","81.61960-0724")</f>
        <v>81.61960-0724</v>
      </c>
      <c r="B3056" s="12" t="str">
        <f>HYPERLINK("https://parts-sales.ru/parts/MAN/81619600724","Воздушный шланг")</f>
        <v>Воздушный шланг</v>
      </c>
      <c r="C3056" s="3" t="s">
        <v>27</v>
      </c>
      <c r="D3056" s="4">
        <v>2103.6</v>
      </c>
      <c r="E3056" s="4">
        <v>497</v>
      </c>
      <c r="F3056" s="8">
        <v>0.76</v>
      </c>
      <c r="H3056" s="11"/>
      <c r="I3056" s="11"/>
      <c r="J3056" s="11"/>
    </row>
    <row r="3057" spans="1:10" ht="15.75" x14ac:dyDescent="0.3">
      <c r="A3057" s="13" t="str">
        <f>HYPERLINK("https://parts-sales.ru/parts/MAN/81619600811","81.61960-0811")</f>
        <v>81.61960-0811</v>
      </c>
      <c r="B3057" s="13" t="str">
        <f>HYPERLINK("https://parts-sales.ru/parts/MAN/81619600811","Теплопровод")</f>
        <v>Теплопровод</v>
      </c>
      <c r="C3057" s="5" t="s">
        <v>27</v>
      </c>
      <c r="D3057" s="6">
        <v>6678.14</v>
      </c>
      <c r="E3057" s="6">
        <v>4008</v>
      </c>
      <c r="F3057" s="9">
        <v>0.4</v>
      </c>
      <c r="H3057" s="11"/>
      <c r="I3057" s="11"/>
      <c r="J3057" s="11"/>
    </row>
    <row r="3058" spans="1:10" ht="15.75" x14ac:dyDescent="0.3">
      <c r="A3058" s="12" t="str">
        <f>HYPERLINK("https://parts-sales.ru/parts/MAN/81619600876","81.61960-0876")</f>
        <v>81.61960-0876</v>
      </c>
      <c r="B3058" s="12" t="str">
        <f>HYPERLINK("https://parts-sales.ru/parts/MAN/81619600876","Теплопровод")</f>
        <v>Теплопровод</v>
      </c>
      <c r="C3058" s="3" t="s">
        <v>27</v>
      </c>
      <c r="D3058" s="4">
        <v>5282.4</v>
      </c>
      <c r="E3058" s="4">
        <v>1581</v>
      </c>
      <c r="F3058" s="8">
        <v>0.7</v>
      </c>
      <c r="H3058" s="11"/>
      <c r="I3058" s="11"/>
      <c r="J3058" s="11"/>
    </row>
    <row r="3059" spans="1:10" ht="15.75" x14ac:dyDescent="0.3">
      <c r="A3059" s="13" t="str">
        <f>HYPERLINK("https://parts-sales.ru/parts/MAN/81619600877","81.61960-0877")</f>
        <v>81.61960-0877</v>
      </c>
      <c r="B3059" s="13" t="str">
        <f>HYPERLINK("https://parts-sales.ru/parts/MAN/81619600877","Теплопровод")</f>
        <v>Теплопровод</v>
      </c>
      <c r="C3059" s="5" t="s">
        <v>27</v>
      </c>
      <c r="D3059" s="6">
        <v>15177.6</v>
      </c>
      <c r="E3059" s="6">
        <v>3180</v>
      </c>
      <c r="F3059" s="9">
        <v>0.79</v>
      </c>
      <c r="H3059" s="11"/>
      <c r="I3059" s="11"/>
      <c r="J3059" s="11"/>
    </row>
    <row r="3060" spans="1:10" ht="15.75" x14ac:dyDescent="0.3">
      <c r="A3060" s="12" t="str">
        <f>HYPERLINK("https://parts-sales.ru/parts/MAN/81619600878","81.61960-0878")</f>
        <v>81.61960-0878</v>
      </c>
      <c r="B3060" s="12" t="str">
        <f>HYPERLINK("https://parts-sales.ru/parts/MAN/81619600878","Теплопровод")</f>
        <v>Теплопровод</v>
      </c>
      <c r="C3060" s="3" t="s">
        <v>27</v>
      </c>
      <c r="D3060" s="4">
        <v>3339.6</v>
      </c>
      <c r="E3060" s="4">
        <v>702</v>
      </c>
      <c r="F3060" s="8">
        <v>0.79</v>
      </c>
      <c r="H3060" s="11"/>
      <c r="I3060" s="11"/>
      <c r="J3060" s="11"/>
    </row>
    <row r="3061" spans="1:10" ht="15.75" x14ac:dyDescent="0.3">
      <c r="A3061" s="13" t="str">
        <f>HYPERLINK("https://parts-sales.ru/parts/MAN/81619600889","81.61960-0889")</f>
        <v>81.61960-0889</v>
      </c>
      <c r="B3061" s="13" t="str">
        <f>HYPERLINK("https://parts-sales.ru/parts/MAN/81619600889","Теплопровод")</f>
        <v>Теплопровод</v>
      </c>
      <c r="C3061" s="5" t="s">
        <v>27</v>
      </c>
      <c r="D3061" s="6">
        <v>6940.8</v>
      </c>
      <c r="E3061" s="6">
        <v>1702</v>
      </c>
      <c r="F3061" s="9">
        <v>0.75</v>
      </c>
      <c r="H3061" s="11"/>
      <c r="I3061" s="11"/>
      <c r="J3061" s="11"/>
    </row>
    <row r="3062" spans="1:10" ht="15.75" x14ac:dyDescent="0.3">
      <c r="A3062" s="12" t="str">
        <f>HYPERLINK("https://parts-sales.ru/parts/MAN/81619600890","81.61960-0890")</f>
        <v>81.61960-0890</v>
      </c>
      <c r="B3062" s="12" t="str">
        <f>HYPERLINK("https://parts-sales.ru/parts/MAN/81619600890","Теплопровод")</f>
        <v>Теплопровод</v>
      </c>
      <c r="C3062" s="3" t="s">
        <v>27</v>
      </c>
      <c r="D3062" s="4">
        <v>3007.2</v>
      </c>
      <c r="E3062" s="4">
        <v>608</v>
      </c>
      <c r="F3062" s="8">
        <v>0.8</v>
      </c>
      <c r="H3062" s="11"/>
      <c r="I3062" s="11"/>
      <c r="J3062" s="11"/>
    </row>
    <row r="3063" spans="1:10" ht="15.75" x14ac:dyDescent="0.3">
      <c r="A3063" s="13" t="str">
        <f>HYPERLINK("https://parts-sales.ru/parts/MAN/81619600891","81.61960-0891")</f>
        <v>81.61960-0891</v>
      </c>
      <c r="B3063" s="13" t="str">
        <f>HYPERLINK("https://parts-sales.ru/parts/MAN/81619600891","Теплопровод")</f>
        <v>Теплопровод</v>
      </c>
      <c r="C3063" s="5" t="s">
        <v>27</v>
      </c>
      <c r="D3063" s="6">
        <v>8991.6</v>
      </c>
      <c r="E3063" s="6">
        <v>3059</v>
      </c>
      <c r="F3063" s="9">
        <v>0.66</v>
      </c>
      <c r="H3063" s="11"/>
      <c r="I3063" s="11"/>
      <c r="J3063" s="11"/>
    </row>
    <row r="3064" spans="1:10" ht="15.75" x14ac:dyDescent="0.3">
      <c r="A3064" s="12" t="str">
        <f>HYPERLINK("https://parts-sales.ru/parts/MAN/81619600893","81.61960-0893")</f>
        <v>81.61960-0893</v>
      </c>
      <c r="B3064" s="12" t="str">
        <f>HYPERLINK("https://parts-sales.ru/parts/MAN/81619600893","Формовочный шланг")</f>
        <v>Формовочный шланг</v>
      </c>
      <c r="C3064" s="3" t="s">
        <v>27</v>
      </c>
      <c r="D3064" s="4">
        <v>638.4</v>
      </c>
      <c r="E3064" s="4">
        <v>223</v>
      </c>
      <c r="F3064" s="8">
        <v>0.65</v>
      </c>
      <c r="H3064" s="11"/>
      <c r="I3064" s="11"/>
      <c r="J3064" s="11"/>
    </row>
    <row r="3065" spans="1:10" ht="15.75" x14ac:dyDescent="0.3">
      <c r="A3065" s="13" t="str">
        <f>HYPERLINK("https://parts-sales.ru/parts/MAN/81619600894","81.61960-0894")</f>
        <v>81.61960-0894</v>
      </c>
      <c r="B3065" s="13" t="str">
        <f>HYPERLINK("https://parts-sales.ru/parts/MAN/81619600894","Формовочный шланг")</f>
        <v>Формовочный шланг</v>
      </c>
      <c r="C3065" s="5" t="s">
        <v>27</v>
      </c>
      <c r="D3065" s="6">
        <v>638.4</v>
      </c>
      <c r="E3065" s="6">
        <v>156</v>
      </c>
      <c r="F3065" s="9">
        <v>0.76</v>
      </c>
      <c r="H3065" s="11"/>
      <c r="I3065" s="11"/>
      <c r="J3065" s="11"/>
    </row>
    <row r="3066" spans="1:10" ht="15.75" x14ac:dyDescent="0.3">
      <c r="A3066" s="12" t="str">
        <f>HYPERLINK("https://parts-sales.ru/parts/MAN/81619600896","81.61960-0896")</f>
        <v>81.61960-0896</v>
      </c>
      <c r="B3066" s="12" t="str">
        <f>HYPERLINK("https://parts-sales.ru/parts/MAN/81619600896","Формовочный шланг")</f>
        <v>Формовочный шланг</v>
      </c>
      <c r="C3066" s="3" t="s">
        <v>27</v>
      </c>
      <c r="D3066" s="4">
        <v>638.4</v>
      </c>
      <c r="E3066" s="4">
        <v>223</v>
      </c>
      <c r="F3066" s="8">
        <v>0.65</v>
      </c>
      <c r="H3066" s="11"/>
      <c r="I3066" s="11"/>
      <c r="J3066" s="11"/>
    </row>
    <row r="3067" spans="1:10" ht="15.75" x14ac:dyDescent="0.3">
      <c r="A3067" s="13" t="str">
        <f>HYPERLINK("https://parts-sales.ru/parts/MAN/81619600897","81.61960-0897")</f>
        <v>81.61960-0897</v>
      </c>
      <c r="B3067" s="13" t="str">
        <f>HYPERLINK("https://parts-sales.ru/parts/MAN/81619600897","Формовочный шланг")</f>
        <v>Формовочный шланг</v>
      </c>
      <c r="C3067" s="5" t="s">
        <v>27</v>
      </c>
      <c r="D3067" s="6">
        <v>1609.2</v>
      </c>
      <c r="E3067" s="6">
        <v>138</v>
      </c>
      <c r="F3067" s="9">
        <v>0.91</v>
      </c>
      <c r="H3067" s="11"/>
      <c r="I3067" s="11"/>
      <c r="J3067" s="11"/>
    </row>
    <row r="3068" spans="1:10" ht="15.75" x14ac:dyDescent="0.3">
      <c r="A3068" s="12" t="str">
        <f>HYPERLINK("https://parts-sales.ru/parts/MAN/81619600902","81.61960-0902")</f>
        <v>81.61960-0902</v>
      </c>
      <c r="B3068" s="12" t="str">
        <f>HYPERLINK("https://parts-sales.ru/parts/MAN/81619600902","Формовочный шланг Прямой ход")</f>
        <v>Формовочный шланг Прямой ход</v>
      </c>
      <c r="C3068" s="3" t="s">
        <v>27</v>
      </c>
      <c r="D3068" s="4">
        <v>9666</v>
      </c>
      <c r="E3068" s="4">
        <v>3021</v>
      </c>
      <c r="F3068" s="8">
        <v>0.69</v>
      </c>
      <c r="H3068" s="11"/>
      <c r="I3068" s="11"/>
      <c r="J3068" s="11"/>
    </row>
    <row r="3069" spans="1:10" ht="15.75" x14ac:dyDescent="0.3">
      <c r="A3069" s="13" t="str">
        <f>HYPERLINK("https://parts-sales.ru/parts/MAN/81619600904","81.61960-0904")</f>
        <v>81.61960-0904</v>
      </c>
      <c r="B3069" s="13" t="str">
        <f>HYPERLINK("https://parts-sales.ru/parts/MAN/81619600904","Формовочный шланг")</f>
        <v>Формовочный шланг</v>
      </c>
      <c r="C3069" s="5" t="s">
        <v>27</v>
      </c>
      <c r="D3069" s="6">
        <v>2822.4</v>
      </c>
      <c r="E3069" s="6">
        <v>585</v>
      </c>
      <c r="F3069" s="9">
        <v>0.79</v>
      </c>
      <c r="H3069" s="11"/>
      <c r="I3069" s="11"/>
      <c r="J3069" s="11"/>
    </row>
    <row r="3070" spans="1:10" ht="15.75" x14ac:dyDescent="0.3">
      <c r="A3070" s="12" t="str">
        <f>HYPERLINK("https://parts-sales.ru/parts/MAN/81619600912","81.61960-0912")</f>
        <v>81.61960-0912</v>
      </c>
      <c r="B3070" s="12" t="str">
        <f>HYPERLINK("https://parts-sales.ru/parts/MAN/81619600912","Формовочный шланг")</f>
        <v>Формовочный шланг</v>
      </c>
      <c r="C3070" s="3" t="s">
        <v>27</v>
      </c>
      <c r="D3070" s="4">
        <v>2304</v>
      </c>
      <c r="E3070" s="4">
        <v>477</v>
      </c>
      <c r="F3070" s="8">
        <v>0.79</v>
      </c>
      <c r="H3070" s="11"/>
      <c r="I3070" s="11"/>
      <c r="J3070" s="11"/>
    </row>
    <row r="3071" spans="1:10" ht="15.75" x14ac:dyDescent="0.3">
      <c r="A3071" s="13" t="str">
        <f>HYPERLINK("https://parts-sales.ru/parts/MAN/81619606036","81.61960-6036")</f>
        <v>81.61960-6036</v>
      </c>
      <c r="B3071" s="13" t="str">
        <f>HYPERLINK("https://parts-sales.ru/parts/MAN/81619606036","Заправочный клапан M13X1")</f>
        <v>Заправочный клапан M13X1</v>
      </c>
      <c r="C3071" s="5" t="s">
        <v>27</v>
      </c>
      <c r="D3071" s="6">
        <v>2857.2</v>
      </c>
      <c r="E3071" s="6">
        <v>516</v>
      </c>
      <c r="F3071" s="9">
        <v>0.82</v>
      </c>
      <c r="H3071" s="11"/>
      <c r="I3071" s="11"/>
      <c r="J3071" s="11"/>
    </row>
    <row r="3072" spans="1:10" ht="15.75" x14ac:dyDescent="0.3">
      <c r="A3072" s="12" t="str">
        <f>HYPERLINK("https://parts-sales.ru/parts/MAN/81619610033","81.61961-0033")</f>
        <v>81.61961-0033</v>
      </c>
      <c r="B3072" s="12" t="str">
        <f>HYPERLINK("https://parts-sales.ru/parts/MAN/81619610033","Всасывающая труба")</f>
        <v>Всасывающая труба</v>
      </c>
      <c r="C3072" s="3" t="s">
        <v>27</v>
      </c>
      <c r="D3072" s="4">
        <v>920.53</v>
      </c>
      <c r="E3072" s="4">
        <v>158</v>
      </c>
      <c r="F3072" s="8">
        <v>0.83</v>
      </c>
      <c r="H3072" s="11"/>
      <c r="I3072" s="11"/>
      <c r="J3072" s="11"/>
    </row>
    <row r="3073" spans="1:10" ht="15.75" x14ac:dyDescent="0.3">
      <c r="A3073" s="13" t="str">
        <f>HYPERLINK("https://parts-sales.ru/parts/MAN/81619616004","81.61961-6004")</f>
        <v>81.61961-6004</v>
      </c>
      <c r="B3073" s="13" t="str">
        <f>HYPERLINK("https://parts-sales.ru/parts/MAN/81619616004","Всасывающая труба")</f>
        <v>Всасывающая труба</v>
      </c>
      <c r="C3073" s="5" t="s">
        <v>27</v>
      </c>
      <c r="D3073" s="6">
        <v>3926.4</v>
      </c>
      <c r="E3073" s="6">
        <v>1372</v>
      </c>
      <c r="F3073" s="9">
        <v>0.65</v>
      </c>
      <c r="H3073" s="11"/>
      <c r="I3073" s="11"/>
      <c r="J3073" s="11"/>
    </row>
    <row r="3074" spans="1:10" ht="15.75" x14ac:dyDescent="0.3">
      <c r="A3074" s="12" t="str">
        <f>HYPERLINK("https://parts-sales.ru/parts/MAN/81619620051","81.61962-0051")</f>
        <v>81.61962-0051</v>
      </c>
      <c r="B3074" s="12" t="str">
        <f>HYPERLINK("https://parts-sales.ru/parts/MAN/81619620051","Наконечник")</f>
        <v>Наконечник</v>
      </c>
      <c r="C3074" s="3" t="s">
        <v>27</v>
      </c>
      <c r="D3074" s="4">
        <v>502.1</v>
      </c>
      <c r="E3074" s="4">
        <v>86</v>
      </c>
      <c r="F3074" s="8">
        <v>0.83</v>
      </c>
      <c r="H3074" s="11"/>
      <c r="I3074" s="11"/>
      <c r="J3074" s="11"/>
    </row>
    <row r="3075" spans="1:10" ht="15.75" x14ac:dyDescent="0.3">
      <c r="A3075" s="13" t="str">
        <f>HYPERLINK("https://parts-sales.ru/parts/MAN/81619620052","81.61962-0052")</f>
        <v>81.61962-0052</v>
      </c>
      <c r="B3075" s="13" t="str">
        <f>HYPERLINK("https://parts-sales.ru/parts/MAN/81619620052","Роликовая гильза")</f>
        <v>Роликовая гильза</v>
      </c>
      <c r="C3075" s="5" t="s">
        <v>27</v>
      </c>
      <c r="D3075" s="6">
        <v>626.84</v>
      </c>
      <c r="E3075" s="6">
        <v>223</v>
      </c>
      <c r="F3075" s="9">
        <v>0.64</v>
      </c>
      <c r="H3075" s="11"/>
      <c r="I3075" s="11"/>
      <c r="J3075" s="11"/>
    </row>
    <row r="3076" spans="1:10" ht="15.75" x14ac:dyDescent="0.3">
      <c r="A3076" s="12" t="str">
        <f>HYPERLINK("https://parts-sales.ru/parts/MAN/81619630018","81.61963-0018")</f>
        <v>81.61963-0018</v>
      </c>
      <c r="B3076" s="12" t="str">
        <f>HYPERLINK("https://parts-sales.ru/parts/MAN/81619630018","Переходная муфта 5X3,5X40-FPM4")</f>
        <v>Переходная муфта 5X3,5X40-FPM4</v>
      </c>
      <c r="C3076" s="3" t="s">
        <v>27</v>
      </c>
      <c r="D3076" s="4">
        <v>2388.9499999999998</v>
      </c>
      <c r="E3076" s="4">
        <v>422</v>
      </c>
      <c r="F3076" s="8">
        <v>0.82</v>
      </c>
      <c r="H3076" s="11"/>
      <c r="I3076" s="11"/>
      <c r="J3076" s="11"/>
    </row>
    <row r="3077" spans="1:10" ht="15.75" x14ac:dyDescent="0.3">
      <c r="A3077" s="13" t="str">
        <f>HYPERLINK("https://parts-sales.ru/parts/MAN/81619660038","81.61966-0038")</f>
        <v>81.61966-0038</v>
      </c>
      <c r="B3077" s="13" t="str">
        <f>HYPERLINK("https://parts-sales.ru/parts/MAN/81619660038","Датчик воспламенения")</f>
        <v>Датчик воспламенения</v>
      </c>
      <c r="C3077" s="5" t="s">
        <v>27</v>
      </c>
      <c r="D3077" s="6">
        <v>12082.8</v>
      </c>
      <c r="E3077" s="6">
        <v>4455</v>
      </c>
      <c r="F3077" s="9">
        <v>0.63</v>
      </c>
      <c r="H3077" s="11"/>
      <c r="I3077" s="11"/>
      <c r="J3077" s="11"/>
    </row>
    <row r="3078" spans="1:10" ht="15.75" x14ac:dyDescent="0.3">
      <c r="A3078" s="12" t="str">
        <f>HYPERLINK("https://parts-sales.ru/parts/MAN/81619660042","81.61966-0042")</f>
        <v>81.61966-0042</v>
      </c>
      <c r="B3078" s="12" t="str">
        <f>HYPERLINK("https://parts-sales.ru/parts/MAN/81619660042","Камера сгорания")</f>
        <v>Камера сгорания</v>
      </c>
      <c r="C3078" s="3" t="s">
        <v>27</v>
      </c>
      <c r="D3078" s="4">
        <v>51939.6</v>
      </c>
      <c r="E3078" s="4">
        <v>10163</v>
      </c>
      <c r="F3078" s="8">
        <v>0.8</v>
      </c>
      <c r="H3078" s="11"/>
      <c r="I3078" s="11"/>
      <c r="J3078" s="11"/>
    </row>
    <row r="3079" spans="1:10" ht="15.75" x14ac:dyDescent="0.3">
      <c r="A3079" s="13" t="str">
        <f>HYPERLINK("https://parts-sales.ru/parts/MAN/81619670013","81.61967-0013")</f>
        <v>81.61967-0013</v>
      </c>
      <c r="B3079" s="13" t="str">
        <f>HYPERLINK("https://parts-sales.ru/parts/MAN/81619670013","Обратный клапан")</f>
        <v>Обратный клапан</v>
      </c>
      <c r="C3079" s="5" t="s">
        <v>27</v>
      </c>
      <c r="D3079" s="6">
        <v>14252.4</v>
      </c>
      <c r="E3079" s="6">
        <v>3273</v>
      </c>
      <c r="F3079" s="9">
        <v>0.77</v>
      </c>
      <c r="H3079" s="11"/>
      <c r="I3079" s="11"/>
      <c r="J3079" s="11"/>
    </row>
    <row r="3080" spans="1:10" ht="15.75" x14ac:dyDescent="0.3">
      <c r="A3080" s="12" t="str">
        <f>HYPERLINK("https://parts-sales.ru/parts/MAN/81619750240","81.61975-0240")</f>
        <v>81.61975-0240</v>
      </c>
      <c r="B3080" s="12" t="str">
        <f>HYPERLINK("https://parts-sales.ru/parts/MAN/81619750240","Шланг подачи охлажд.жидкости")</f>
        <v>Шланг подачи охлажд.жидкости</v>
      </c>
      <c r="C3080" s="3" t="s">
        <v>27</v>
      </c>
      <c r="D3080" s="4">
        <v>15880.8</v>
      </c>
      <c r="E3080" s="4">
        <v>4220</v>
      </c>
      <c r="F3080" s="8">
        <v>0.73</v>
      </c>
      <c r="H3080" s="11"/>
      <c r="I3080" s="11"/>
      <c r="J3080" s="11"/>
    </row>
    <row r="3081" spans="1:10" ht="15.75" x14ac:dyDescent="0.3">
      <c r="A3081" s="13" t="str">
        <f>HYPERLINK("https://parts-sales.ru/parts/MAN/81619750243","81.61975-0243")</f>
        <v>81.61975-0243</v>
      </c>
      <c r="B3081" s="13" t="str">
        <f>HYPERLINK("https://parts-sales.ru/parts/MAN/81619750243","Шланг подачи охлажд.жидкости")</f>
        <v>Шланг подачи охлажд.жидкости</v>
      </c>
      <c r="C3081" s="5" t="s">
        <v>27</v>
      </c>
      <c r="D3081" s="6">
        <v>7226.78</v>
      </c>
      <c r="E3081" s="6">
        <v>4814</v>
      </c>
      <c r="F3081" s="9">
        <v>0.33</v>
      </c>
      <c r="H3081" s="11"/>
      <c r="I3081" s="11"/>
      <c r="J3081" s="11"/>
    </row>
    <row r="3082" spans="1:10" ht="15.75" x14ac:dyDescent="0.3">
      <c r="A3082" s="12" t="str">
        <f>HYPERLINK("https://parts-sales.ru/parts/MAN/81619750256","81.61975-0256")</f>
        <v>81.61975-0256</v>
      </c>
      <c r="B3082" s="12" t="str">
        <f>HYPERLINK("https://parts-sales.ru/parts/MAN/81619750256","Шланг подачи охлажд.жидкости")</f>
        <v>Шланг подачи охлажд.жидкости</v>
      </c>
      <c r="C3082" s="3" t="s">
        <v>27</v>
      </c>
      <c r="D3082" s="4">
        <v>17653.2</v>
      </c>
      <c r="E3082" s="4">
        <v>11064</v>
      </c>
      <c r="F3082" s="8">
        <v>0.37</v>
      </c>
      <c r="H3082" s="11"/>
      <c r="I3082" s="11"/>
      <c r="J3082" s="11"/>
    </row>
    <row r="3083" spans="1:10" ht="15.75" x14ac:dyDescent="0.3">
      <c r="A3083" s="13" t="str">
        <f>HYPERLINK("https://parts-sales.ru/parts/MAN/81619755119","81.61975-5119")</f>
        <v>81.61975-5119</v>
      </c>
      <c r="B3083" s="13" t="str">
        <f>HYPERLINK("https://parts-sales.ru/parts/MAN/81619755119","Трубопровод охлажд.жидкости Всасывающая")</f>
        <v>Трубопровод охлажд.жидкости Всасывающая</v>
      </c>
      <c r="C3083" s="5" t="s">
        <v>27</v>
      </c>
      <c r="D3083" s="6">
        <v>18235.2</v>
      </c>
      <c r="E3083" s="6">
        <v>3036</v>
      </c>
      <c r="F3083" s="9">
        <v>0.83</v>
      </c>
      <c r="H3083" s="11"/>
      <c r="I3083" s="11"/>
      <c r="J3083" s="11"/>
    </row>
    <row r="3084" spans="1:10" ht="15.75" x14ac:dyDescent="0.3">
      <c r="A3084" s="12" t="str">
        <f>HYPERLINK("https://parts-sales.ru/parts/MAN/81619900074","81.61990-0074")</f>
        <v>81.61990-0074</v>
      </c>
      <c r="B3084" s="12" t="str">
        <f>HYPERLINK("https://parts-sales.ru/parts/MAN/81619900074","Вращающаяся ручка")</f>
        <v>Вращающаяся ручка</v>
      </c>
      <c r="C3084" s="3" t="s">
        <v>27</v>
      </c>
      <c r="D3084" s="4">
        <v>1962</v>
      </c>
      <c r="E3084" s="4">
        <v>706</v>
      </c>
      <c r="F3084" s="8">
        <v>0.64</v>
      </c>
      <c r="H3084" s="11"/>
      <c r="I3084" s="11"/>
      <c r="J3084" s="11"/>
    </row>
    <row r="3085" spans="1:10" ht="15.75" x14ac:dyDescent="0.3">
      <c r="A3085" s="13" t="str">
        <f>HYPERLINK("https://parts-sales.ru/parts/MAN/81619900085","81.61990-0085")</f>
        <v>81.61990-0085</v>
      </c>
      <c r="B3085" s="13" t="str">
        <f>HYPERLINK("https://parts-sales.ru/parts/MAN/81619900085","Вращающаяся ручка")</f>
        <v>Вращающаяся ручка</v>
      </c>
      <c r="C3085" s="5" t="s">
        <v>27</v>
      </c>
      <c r="D3085" s="6">
        <v>1790.4</v>
      </c>
      <c r="E3085" s="6">
        <v>686</v>
      </c>
      <c r="F3085" s="9">
        <v>0.62</v>
      </c>
      <c r="H3085" s="11"/>
      <c r="I3085" s="11"/>
      <c r="J3085" s="11"/>
    </row>
    <row r="3086" spans="1:10" ht="15.75" x14ac:dyDescent="0.3">
      <c r="A3086" s="12" t="str">
        <f>HYPERLINK("https://parts-sales.ru/parts/MAN/81619900093","81.61990-0093")</f>
        <v>81.61990-0093</v>
      </c>
      <c r="B3086" s="12" t="str">
        <f>HYPERLINK("https://parts-sales.ru/parts/MAN/81619900093","Часовое реле")</f>
        <v>Часовое реле</v>
      </c>
      <c r="C3086" s="3" t="s">
        <v>27</v>
      </c>
      <c r="D3086" s="4">
        <v>60418.8</v>
      </c>
      <c r="E3086" s="4">
        <v>12988</v>
      </c>
      <c r="F3086" s="8">
        <v>0.79</v>
      </c>
      <c r="H3086" s="11"/>
      <c r="I3086" s="11"/>
      <c r="J3086" s="11"/>
    </row>
    <row r="3087" spans="1:10" ht="15.75" x14ac:dyDescent="0.3">
      <c r="A3087" s="13" t="str">
        <f>HYPERLINK("https://parts-sales.ru/parts/MAN/81619900107","81.61990-0107")</f>
        <v>81.61990-0107</v>
      </c>
      <c r="B3087" s="13" t="str">
        <f>HYPERLINK("https://parts-sales.ru/parts/MAN/81619900107","Скоба")</f>
        <v>Скоба</v>
      </c>
      <c r="C3087" s="5" t="s">
        <v>27</v>
      </c>
      <c r="D3087" s="6">
        <v>436.8</v>
      </c>
      <c r="E3087" s="6">
        <v>92</v>
      </c>
      <c r="F3087" s="9">
        <v>0.79</v>
      </c>
      <c r="H3087" s="11"/>
      <c r="I3087" s="11"/>
      <c r="J3087" s="11"/>
    </row>
    <row r="3088" spans="1:10" ht="15.75" x14ac:dyDescent="0.3">
      <c r="A3088" s="12" t="str">
        <f>HYPERLINK("https://parts-sales.ru/parts/MAN/81619906067","81.61990-6067")</f>
        <v>81.61990-6067</v>
      </c>
      <c r="B3088" s="12" t="str">
        <f>HYPERLINK("https://parts-sales.ru/parts/MAN/81619906067","Рычаг")</f>
        <v>Рычаг</v>
      </c>
      <c r="C3088" s="3" t="s">
        <v>27</v>
      </c>
      <c r="D3088" s="4">
        <v>1948.8</v>
      </c>
      <c r="E3088" s="4">
        <v>433</v>
      </c>
      <c r="F3088" s="8">
        <v>0.78</v>
      </c>
      <c r="H3088" s="11"/>
      <c r="I3088" s="11"/>
      <c r="J3088" s="11"/>
    </row>
    <row r="3089" spans="1:10" ht="15.75" x14ac:dyDescent="0.3">
      <c r="A3089" s="13" t="str">
        <f>HYPERLINK("https://parts-sales.ru/parts/MAN/81621015116","81.62101-5116")</f>
        <v>81.62101-5116</v>
      </c>
      <c r="B3089" s="13" t="str">
        <f>HYPERLINK("https://parts-sales.ru/parts/MAN/81621015116","Поперечный занавес F99 L/R 49")</f>
        <v>Поперечный занавес F99 L/R 49</v>
      </c>
      <c r="C3089" s="5" t="s">
        <v>15</v>
      </c>
      <c r="D3089" s="6">
        <v>13651.27</v>
      </c>
      <c r="E3089" s="6">
        <v>9101</v>
      </c>
      <c r="F3089" s="9">
        <v>0.33</v>
      </c>
      <c r="H3089" s="11"/>
      <c r="I3089" s="11"/>
      <c r="J3089" s="11"/>
    </row>
    <row r="3090" spans="1:10" ht="15.75" x14ac:dyDescent="0.3">
      <c r="A3090" s="12" t="str">
        <f>HYPERLINK("https://parts-sales.ru/parts/MAN/81621015117","81.62101-5117")</f>
        <v>81.62101-5117</v>
      </c>
      <c r="B3090" s="12" t="str">
        <f>HYPERLINK("https://parts-sales.ru/parts/MAN/81621015117","Круговая занавеска")</f>
        <v>Круговая занавеска</v>
      </c>
      <c r="C3090" s="3" t="s">
        <v>15</v>
      </c>
      <c r="D3090" s="4">
        <v>21660</v>
      </c>
      <c r="E3090" s="4">
        <v>7112</v>
      </c>
      <c r="F3090" s="8">
        <v>0.67</v>
      </c>
      <c r="H3090" s="11"/>
      <c r="I3090" s="11"/>
      <c r="J3090" s="11"/>
    </row>
    <row r="3091" spans="1:10" ht="15.75" x14ac:dyDescent="0.3">
      <c r="A3091" s="13" t="str">
        <f>HYPERLINK("https://parts-sales.ru/parts/MAN/81621015120","81.62101-5120")</f>
        <v>81.62101-5120</v>
      </c>
      <c r="B3091" s="13" t="str">
        <f>HYPERLINK("https://parts-sales.ru/parts/MAN/81621015120","Круговая занавеска")</f>
        <v>Круговая занавеска</v>
      </c>
      <c r="C3091" s="5" t="s">
        <v>15</v>
      </c>
      <c r="D3091" s="6">
        <v>21253.200000000001</v>
      </c>
      <c r="E3091" s="6">
        <v>7564</v>
      </c>
      <c r="F3091" s="9">
        <v>0.64</v>
      </c>
      <c r="H3091" s="11"/>
      <c r="I3091" s="11"/>
      <c r="J3091" s="11"/>
    </row>
    <row r="3092" spans="1:10" ht="15.75" x14ac:dyDescent="0.3">
      <c r="A3092" s="12" t="str">
        <f>HYPERLINK("https://parts-sales.ru/parts/MAN/81621400099","81.62140-0099")</f>
        <v>81.62140-0099</v>
      </c>
      <c r="B3092" s="12" t="str">
        <f>HYPERLINK("https://parts-sales.ru/parts/MAN/81621400099","Ходовой рельс L15-L32")</f>
        <v>Ходовой рельс L15-L32</v>
      </c>
      <c r="C3092" s="3" t="s">
        <v>15</v>
      </c>
      <c r="D3092" s="4">
        <v>14521.2</v>
      </c>
      <c r="E3092" s="4">
        <v>2803</v>
      </c>
      <c r="F3092" s="8">
        <v>0.81</v>
      </c>
      <c r="H3092" s="11"/>
      <c r="I3092" s="11"/>
      <c r="J3092" s="11"/>
    </row>
    <row r="3093" spans="1:10" ht="15.75" x14ac:dyDescent="0.3">
      <c r="A3093" s="13" t="str">
        <f>HYPERLINK("https://parts-sales.ru/parts/MAN/81621400100","81.62140-0100")</f>
        <v>81.62140-0100</v>
      </c>
      <c r="B3093" s="13" t="str">
        <f>HYPERLINK("https://parts-sales.ru/parts/MAN/81621400100","Ходовой рельс L37")</f>
        <v>Ходовой рельс L37</v>
      </c>
      <c r="C3093" s="5" t="s">
        <v>15</v>
      </c>
      <c r="D3093" s="6">
        <v>9201.6</v>
      </c>
      <c r="E3093" s="6">
        <v>2264</v>
      </c>
      <c r="F3093" s="9">
        <v>0.75</v>
      </c>
      <c r="H3093" s="11"/>
      <c r="I3093" s="11"/>
      <c r="J3093" s="11"/>
    </row>
    <row r="3094" spans="1:10" ht="15.75" x14ac:dyDescent="0.3">
      <c r="A3094" s="12" t="str">
        <f>HYPERLINK("https://parts-sales.ru/parts/MAN/81621580077","81.62158-0077")</f>
        <v>81.62158-0077</v>
      </c>
      <c r="B3094" s="12" t="str">
        <f>HYPERLINK("https://parts-sales.ru/parts/MAN/81621580077","Колпачок")</f>
        <v>Колпачок</v>
      </c>
      <c r="C3094" s="3" t="s">
        <v>15</v>
      </c>
      <c r="D3094" s="4">
        <v>2366.4</v>
      </c>
      <c r="E3094" s="4">
        <v>555</v>
      </c>
      <c r="F3094" s="8">
        <v>0.77</v>
      </c>
      <c r="H3094" s="11"/>
      <c r="I3094" s="11"/>
      <c r="J3094" s="11"/>
    </row>
    <row r="3095" spans="1:10" ht="15.75" x14ac:dyDescent="0.3">
      <c r="A3095" s="13" t="str">
        <f>HYPERLINK("https://parts-sales.ru/parts/MAN/81621585031","81.62158-5031")</f>
        <v>81.62158-5031</v>
      </c>
      <c r="B3095" s="13" t="str">
        <f>HYPERLINK("https://parts-sales.ru/parts/MAN/81621585031","Крепление, расположение")</f>
        <v>Крепление, расположение</v>
      </c>
      <c r="C3095" s="5" t="s">
        <v>15</v>
      </c>
      <c r="D3095" s="6">
        <v>5360.4</v>
      </c>
      <c r="E3095" s="6">
        <v>1078</v>
      </c>
      <c r="F3095" s="9">
        <v>0.8</v>
      </c>
      <c r="H3095" s="11"/>
      <c r="I3095" s="11"/>
      <c r="J3095" s="11"/>
    </row>
    <row r="3096" spans="1:10" ht="15.75" x14ac:dyDescent="0.3">
      <c r="A3096" s="12" t="str">
        <f>HYPERLINK("https://parts-sales.ru/parts/MAN/81621596402","81.62159-6402")</f>
        <v>81.62159-6402</v>
      </c>
      <c r="B3096" s="12" t="str">
        <f>HYPERLINK("https://parts-sales.ru/parts/MAN/81621596402","Спальное место F99 L/R 17")</f>
        <v>Спальное место F99 L/R 17</v>
      </c>
      <c r="C3096" s="3" t="s">
        <v>15</v>
      </c>
      <c r="D3096" s="4">
        <v>354734.4</v>
      </c>
      <c r="E3096" s="4">
        <v>154381</v>
      </c>
      <c r="F3096" s="8">
        <v>0.56000000000000005</v>
      </c>
      <c r="H3096" s="11"/>
      <c r="I3096" s="11"/>
      <c r="J3096" s="11"/>
    </row>
    <row r="3097" spans="1:10" ht="15.75" x14ac:dyDescent="0.3">
      <c r="A3097" s="13" t="str">
        <f>HYPERLINK("https://parts-sales.ru/parts/MAN/81621606098","81.62160-6098")</f>
        <v>81.62160-6098</v>
      </c>
      <c r="B3097" s="13" t="str">
        <f>HYPERLINK("https://parts-sales.ru/parts/MAN/81621606098","Чехол для спального места F99 L/R 32-39")</f>
        <v>Чехол для спального места F99 L/R 32-39</v>
      </c>
      <c r="C3097" s="5" t="s">
        <v>15</v>
      </c>
      <c r="D3097" s="6">
        <v>16880.53</v>
      </c>
      <c r="E3097" s="6">
        <v>7735</v>
      </c>
      <c r="F3097" s="9">
        <v>0.54</v>
      </c>
      <c r="H3097" s="11"/>
      <c r="I3097" s="11"/>
      <c r="J3097" s="11"/>
    </row>
    <row r="3098" spans="1:10" ht="15.75" x14ac:dyDescent="0.3">
      <c r="A3098" s="12" t="str">
        <f>HYPERLINK("https://parts-sales.ru/parts/MAN/81623036219","81.62303-6219")</f>
        <v>81.62303-6219</v>
      </c>
      <c r="B3098" s="12" t="str">
        <f>HYPERLINK("https://parts-sales.ru/parts/MAN/81623036219","Подлокотник")</f>
        <v>Подлокотник</v>
      </c>
      <c r="C3098" s="3" t="s">
        <v>15</v>
      </c>
      <c r="D3098" s="4">
        <v>42439.199999999997</v>
      </c>
      <c r="E3098" s="4">
        <v>9558</v>
      </c>
      <c r="F3098" s="8">
        <v>0.77</v>
      </c>
      <c r="H3098" s="11"/>
      <c r="I3098" s="11"/>
      <c r="J3098" s="11"/>
    </row>
    <row r="3099" spans="1:10" ht="15.75" x14ac:dyDescent="0.3">
      <c r="A3099" s="13" t="str">
        <f>HYPERLINK("https://parts-sales.ru/parts/MAN/81623036513","81.62303-6513")</f>
        <v>81.62303-6513</v>
      </c>
      <c r="B3099" s="13" t="str">
        <f>HYPERLINK("https://parts-sales.ru/parts/MAN/81623036513","Подлокотник")</f>
        <v>Подлокотник</v>
      </c>
      <c r="C3099" s="5" t="s">
        <v>15</v>
      </c>
      <c r="D3099" s="6">
        <v>33684</v>
      </c>
      <c r="E3099" s="6">
        <v>6867</v>
      </c>
      <c r="F3099" s="9">
        <v>0.8</v>
      </c>
      <c r="H3099" s="11"/>
      <c r="I3099" s="11"/>
      <c r="J3099" s="11"/>
    </row>
    <row r="3100" spans="1:10" ht="15.75" x14ac:dyDescent="0.3">
      <c r="A3100" s="12" t="str">
        <f>HYPERLINK("https://parts-sales.ru/parts/MAN/81623050064","81.62305-0064")</f>
        <v>81.62305-0064</v>
      </c>
      <c r="B3100" s="12" t="str">
        <f>HYPERLINK("https://parts-sales.ru/parts/MAN/81623050064","Защитный бортик")</f>
        <v>Защитный бортик</v>
      </c>
      <c r="C3100" s="3" t="s">
        <v>15</v>
      </c>
      <c r="D3100" s="4">
        <v>1105.2</v>
      </c>
      <c r="E3100" s="4">
        <v>294</v>
      </c>
      <c r="F3100" s="8">
        <v>0.73</v>
      </c>
      <c r="H3100" s="11"/>
      <c r="I3100" s="11"/>
      <c r="J3100" s="11"/>
    </row>
    <row r="3101" spans="1:10" ht="15.75" x14ac:dyDescent="0.3">
      <c r="A3101" s="13" t="str">
        <f>HYPERLINK("https://parts-sales.ru/parts/MAN/81623050066","81.62305-0066")</f>
        <v>81.62305-0066</v>
      </c>
      <c r="B3101" s="13" t="str">
        <f>HYPERLINK("https://parts-sales.ru/parts/MAN/81623050066","Заслонка")</f>
        <v>Заслонка</v>
      </c>
      <c r="C3101" s="5" t="s">
        <v>15</v>
      </c>
      <c r="D3101" s="6">
        <v>836.4</v>
      </c>
      <c r="E3101" s="6">
        <v>192</v>
      </c>
      <c r="F3101" s="9">
        <v>0.77</v>
      </c>
      <c r="H3101" s="11"/>
      <c r="I3101" s="11"/>
      <c r="J3101" s="11"/>
    </row>
    <row r="3102" spans="1:10" ht="15.75" x14ac:dyDescent="0.3">
      <c r="A3102" s="12" t="str">
        <f>HYPERLINK("https://parts-sales.ru/parts/MAN/81623050067","81.62305-0067")</f>
        <v>81.62305-0067</v>
      </c>
      <c r="B3102" s="12" t="str">
        <f>HYPERLINK("https://parts-sales.ru/parts/MAN/81623050067","Золотник")</f>
        <v>Золотник</v>
      </c>
      <c r="C3102" s="3" t="s">
        <v>15</v>
      </c>
      <c r="D3102" s="4">
        <v>682.8</v>
      </c>
      <c r="E3102" s="4">
        <v>157</v>
      </c>
      <c r="F3102" s="8">
        <v>0.77</v>
      </c>
      <c r="H3102" s="11"/>
      <c r="I3102" s="11"/>
      <c r="J3102" s="11"/>
    </row>
    <row r="3103" spans="1:10" ht="15.75" x14ac:dyDescent="0.3">
      <c r="A3103" s="13" t="str">
        <f>HYPERLINK("https://parts-sales.ru/parts/MAN/81623050072","81.62305-0072")</f>
        <v>81.62305-0072</v>
      </c>
      <c r="B3103" s="13" t="str">
        <f>HYPERLINK("https://parts-sales.ru/parts/MAN/81623050072","Привязной ремень Каркас сиденья")</f>
        <v>Привязной ремень Каркас сиденья</v>
      </c>
      <c r="C3103" s="5" t="s">
        <v>15</v>
      </c>
      <c r="D3103" s="6">
        <v>1274.4000000000001</v>
      </c>
      <c r="E3103" s="6">
        <v>323</v>
      </c>
      <c r="F3103" s="9">
        <v>0.75</v>
      </c>
      <c r="H3103" s="11"/>
      <c r="I3103" s="11"/>
      <c r="J3103" s="11"/>
    </row>
    <row r="3104" spans="1:10" ht="15.75" x14ac:dyDescent="0.3">
      <c r="A3104" s="12" t="str">
        <f>HYPERLINK("https://parts-sales.ru/parts/MAN/81623056263","81.62305-6263")</f>
        <v>81.62305-6263</v>
      </c>
      <c r="B3104" s="12" t="str">
        <f>HYPERLINK("https://parts-sales.ru/parts/MAN/81623056263","Перестановка по высоте")</f>
        <v>Перестановка по высоте</v>
      </c>
      <c r="C3104" s="3" t="s">
        <v>15</v>
      </c>
      <c r="D3104" s="4">
        <v>6243.6</v>
      </c>
      <c r="E3104" s="4">
        <v>1311</v>
      </c>
      <c r="F3104" s="8">
        <v>0.79</v>
      </c>
      <c r="H3104" s="11"/>
      <c r="I3104" s="11"/>
      <c r="J3104" s="11"/>
    </row>
    <row r="3105" spans="1:10" ht="15.75" x14ac:dyDescent="0.3">
      <c r="A3105" s="13" t="str">
        <f>HYPERLINK("https://parts-sales.ru/parts/MAN/81623056415","81.62305-6415")</f>
        <v>81.62305-6415</v>
      </c>
      <c r="B3105" s="13" t="str">
        <f>HYPERLINK("https://parts-sales.ru/parts/MAN/81623056415","Трехточеч.ремень безопасности")</f>
        <v>Трехточеч.ремень безопасности</v>
      </c>
      <c r="C3105" s="5" t="s">
        <v>15</v>
      </c>
      <c r="D3105" s="6">
        <v>12900</v>
      </c>
      <c r="E3105" s="6">
        <v>5880</v>
      </c>
      <c r="F3105" s="9">
        <v>0.54</v>
      </c>
      <c r="H3105" s="11"/>
      <c r="I3105" s="11"/>
      <c r="J3105" s="11"/>
    </row>
    <row r="3106" spans="1:10" ht="15.75" x14ac:dyDescent="0.3">
      <c r="A3106" s="12" t="str">
        <f>HYPERLINK("https://parts-sales.ru/parts/MAN/81623076560","81.62307-6560")</f>
        <v>81.62307-6560</v>
      </c>
      <c r="B3106" s="12" t="str">
        <f>HYPERLINK("https://parts-sales.ru/parts/MAN/81623076560","Сиденье справа")</f>
        <v>Сиденье справа</v>
      </c>
      <c r="C3106" s="3" t="s">
        <v>15</v>
      </c>
      <c r="D3106" s="4">
        <v>89666.57</v>
      </c>
      <c r="E3106" s="4">
        <v>41845</v>
      </c>
      <c r="F3106" s="8">
        <v>0.53</v>
      </c>
      <c r="H3106" s="11"/>
      <c r="I3106" s="11"/>
      <c r="J3106" s="11"/>
    </row>
    <row r="3107" spans="1:10" ht="15.75" x14ac:dyDescent="0.3">
      <c r="A3107" s="13" t="str">
        <f>HYPERLINK("https://parts-sales.ru/parts/MAN/81623406138","81.62340-6138")</f>
        <v>81.62340-6138</v>
      </c>
      <c r="B3107" s="13" t="str">
        <f>HYPERLINK("https://parts-sales.ru/parts/MAN/81623406138","Рем компл сиден")</f>
        <v>Рем компл сиден</v>
      </c>
      <c r="C3107" s="5" t="s">
        <v>15</v>
      </c>
      <c r="D3107" s="6">
        <v>13035.6</v>
      </c>
      <c r="E3107" s="6">
        <v>2692</v>
      </c>
      <c r="F3107" s="9">
        <v>0.79</v>
      </c>
      <c r="H3107" s="11"/>
      <c r="I3107" s="11"/>
      <c r="J3107" s="11"/>
    </row>
    <row r="3108" spans="1:10" ht="15.75" x14ac:dyDescent="0.3">
      <c r="A3108" s="12" t="str">
        <f>HYPERLINK("https://parts-sales.ru/parts/MAN/81623600150","81.62360-0150")</f>
        <v>81.62360-0150</v>
      </c>
      <c r="B3108" s="12" t="str">
        <f>HYPERLINK("https://parts-sales.ru/parts/MAN/81623600150","Мягкий чехол для сиденья велюр")</f>
        <v>Мягкий чехол для сиденья велюр</v>
      </c>
      <c r="C3108" s="3" t="s">
        <v>15</v>
      </c>
      <c r="D3108" s="4">
        <v>19881.599999999999</v>
      </c>
      <c r="E3108" s="4">
        <v>4861</v>
      </c>
      <c r="F3108" s="8">
        <v>0.76</v>
      </c>
      <c r="H3108" s="11"/>
      <c r="I3108" s="11"/>
      <c r="J3108" s="11"/>
    </row>
    <row r="3109" spans="1:10" ht="15.75" x14ac:dyDescent="0.3">
      <c r="A3109" s="13" t="str">
        <f>HYPERLINK("https://parts-sales.ru/parts/MAN/81623836125","81.62383-6125")</f>
        <v>81.62383-6125</v>
      </c>
      <c r="B3109" s="13" t="str">
        <f>HYPERLINK("https://parts-sales.ru/parts/MAN/81623836125","Рем компл сиден слева")</f>
        <v>Рем компл сиден слева</v>
      </c>
      <c r="C3109" s="5" t="s">
        <v>15</v>
      </c>
      <c r="D3109" s="6">
        <v>12274.8</v>
      </c>
      <c r="E3109" s="6">
        <v>2670</v>
      </c>
      <c r="F3109" s="9">
        <v>0.78</v>
      </c>
      <c r="H3109" s="11"/>
      <c r="I3109" s="11"/>
      <c r="J3109" s="11"/>
    </row>
    <row r="3110" spans="1:10" ht="15.75" x14ac:dyDescent="0.3">
      <c r="A3110" s="12" t="str">
        <f>HYPERLINK("https://parts-sales.ru/parts/MAN/81623856053","81.62385-6053")</f>
        <v>81.62385-6053</v>
      </c>
      <c r="B3110" s="12" t="str">
        <f>HYPERLINK("https://parts-sales.ru/parts/MAN/81623856053","Рем компл сиден")</f>
        <v>Рем компл сиден</v>
      </c>
      <c r="C3110" s="3" t="s">
        <v>15</v>
      </c>
      <c r="D3110" s="4">
        <v>120640.8</v>
      </c>
      <c r="E3110" s="4">
        <v>48357</v>
      </c>
      <c r="F3110" s="8">
        <v>0.6</v>
      </c>
      <c r="H3110" s="11"/>
      <c r="I3110" s="11"/>
      <c r="J3110" s="11"/>
    </row>
    <row r="3111" spans="1:10" ht="15.75" x14ac:dyDescent="0.3">
      <c r="A3111" s="13" t="str">
        <f>HYPERLINK("https://parts-sales.ru/parts/MAN/81623856061","81.62385-6061")</f>
        <v>81.62385-6061</v>
      </c>
      <c r="B3111" s="13" t="str">
        <f>HYPERLINK("https://parts-sales.ru/parts/MAN/81623856061","Рем компл сиден Глушитель")</f>
        <v>Рем компл сиден Глушитель</v>
      </c>
      <c r="C3111" s="5" t="s">
        <v>15</v>
      </c>
      <c r="D3111" s="6">
        <v>13320</v>
      </c>
      <c r="E3111" s="6">
        <v>3015</v>
      </c>
      <c r="F3111" s="9">
        <v>0.77</v>
      </c>
      <c r="H3111" s="11"/>
      <c r="I3111" s="11"/>
      <c r="J3111" s="11"/>
    </row>
    <row r="3112" spans="1:10" ht="15.75" x14ac:dyDescent="0.3">
      <c r="A3112" s="12" t="str">
        <f>HYPERLINK("https://parts-sales.ru/parts/MAN/81623986070","81.62398-6070")</f>
        <v>81.62398-6070</v>
      </c>
      <c r="B3112" s="12" t="str">
        <f>HYPERLINK("https://parts-sales.ru/parts/MAN/81623986070","Рем компл сиден")</f>
        <v>Рем компл сиден</v>
      </c>
      <c r="C3112" s="3" t="s">
        <v>15</v>
      </c>
      <c r="D3112" s="4">
        <v>3286.8</v>
      </c>
      <c r="E3112" s="4">
        <v>1173</v>
      </c>
      <c r="F3112" s="8">
        <v>0.64</v>
      </c>
      <c r="H3112" s="11"/>
      <c r="I3112" s="11"/>
      <c r="J3112" s="11"/>
    </row>
    <row r="3113" spans="1:10" ht="15.75" x14ac:dyDescent="0.3">
      <c r="A3113" s="13" t="str">
        <f>HYPERLINK("https://parts-sales.ru/parts/MAN/81624100089","81.62410-0089")</f>
        <v>81.62410-0089</v>
      </c>
      <c r="B3113" s="13" t="str">
        <f>HYPERLINK("https://parts-sales.ru/parts/MAN/81624100089","Аэродинамический элемент")</f>
        <v>Аэродинамический элемент</v>
      </c>
      <c r="C3113" s="5" t="s">
        <v>15</v>
      </c>
      <c r="D3113" s="6">
        <v>19416</v>
      </c>
      <c r="E3113" s="6">
        <v>4802</v>
      </c>
      <c r="F3113" s="9">
        <v>0.75</v>
      </c>
      <c r="H3113" s="11"/>
      <c r="I3113" s="11"/>
      <c r="J3113" s="11"/>
    </row>
    <row r="3114" spans="1:10" ht="15.75" x14ac:dyDescent="0.3">
      <c r="A3114" s="12" t="str">
        <f>HYPERLINK("https://parts-sales.ru/parts/MAN/81624100092","81.62410-0092")</f>
        <v>81.62410-0092</v>
      </c>
      <c r="B3114" s="12" t="str">
        <f>HYPERLINK("https://parts-sales.ru/parts/MAN/81624100092","Обшивка колонн")</f>
        <v>Обшивка колонн</v>
      </c>
      <c r="C3114" s="3" t="s">
        <v>15</v>
      </c>
      <c r="D3114" s="4">
        <v>21859.200000000001</v>
      </c>
      <c r="E3114" s="4">
        <v>3947</v>
      </c>
      <c r="F3114" s="8">
        <v>0.82</v>
      </c>
      <c r="H3114" s="11"/>
      <c r="I3114" s="11"/>
      <c r="J3114" s="11"/>
    </row>
    <row r="3115" spans="1:10" ht="15.75" x14ac:dyDescent="0.3">
      <c r="A3115" s="13" t="str">
        <f>HYPERLINK("https://parts-sales.ru/parts/MAN/81624100099","81.62410-0099")</f>
        <v>81.62410-0099</v>
      </c>
      <c r="B3115" s="13" t="str">
        <f>HYPERLINK("https://parts-sales.ru/parts/MAN/81624100099","Обшивка колонн")</f>
        <v>Обшивка колонн</v>
      </c>
      <c r="C3115" s="5" t="s">
        <v>15</v>
      </c>
      <c r="D3115" s="6">
        <v>32492.400000000001</v>
      </c>
      <c r="E3115" s="6">
        <v>13451</v>
      </c>
      <c r="F3115" s="9">
        <v>0.59</v>
      </c>
      <c r="H3115" s="11"/>
      <c r="I3115" s="11"/>
      <c r="J3115" s="11"/>
    </row>
    <row r="3116" spans="1:10" ht="15.75" x14ac:dyDescent="0.3">
      <c r="A3116" s="12" t="str">
        <f>HYPERLINK("https://parts-sales.ru/parts/MAN/81624100108","81.62410-0108")</f>
        <v>81.62410-0108</v>
      </c>
      <c r="B3116" s="12" t="str">
        <f>HYPERLINK("https://parts-sales.ru/parts/MAN/81624100108","Крышка зеркала Дверной шарнир")</f>
        <v>Крышка зеркала Дверной шарнир</v>
      </c>
      <c r="C3116" s="3" t="s">
        <v>15</v>
      </c>
      <c r="D3116" s="4">
        <v>2908.8</v>
      </c>
      <c r="E3116" s="4">
        <v>937</v>
      </c>
      <c r="F3116" s="8">
        <v>0.68</v>
      </c>
      <c r="H3116" s="11"/>
      <c r="I3116" s="11"/>
      <c r="J3116" s="11"/>
    </row>
    <row r="3117" spans="1:10" ht="15.75" x14ac:dyDescent="0.3">
      <c r="A3117" s="13" t="str">
        <f>HYPERLINK("https://parts-sales.ru/parts/MAN/81624100146","81.62410-0146")</f>
        <v>81.62410-0146</v>
      </c>
      <c r="B3117" s="13" t="str">
        <f>HYPERLINK("https://parts-sales.ru/parts/MAN/81624100146","Обшивка колонн")</f>
        <v>Обшивка колонн</v>
      </c>
      <c r="C3117" s="5" t="s">
        <v>15</v>
      </c>
      <c r="D3117" s="6">
        <v>25599.599999999999</v>
      </c>
      <c r="E3117" s="6">
        <v>5013</v>
      </c>
      <c r="F3117" s="9">
        <v>0.8</v>
      </c>
      <c r="H3117" s="11"/>
      <c r="I3117" s="11"/>
      <c r="J3117" s="11"/>
    </row>
    <row r="3118" spans="1:10" ht="15.75" x14ac:dyDescent="0.3">
      <c r="A3118" s="12" t="str">
        <f>HYPERLINK("https://parts-sales.ru/parts/MAN/81624100323","81.62410-0323")</f>
        <v>81.62410-0323</v>
      </c>
      <c r="B3118" s="12" t="str">
        <f>HYPERLINK("https://parts-sales.ru/parts/MAN/81624100323","Фасонная пена Ветровое стекло")</f>
        <v>Фасонная пена Ветровое стекло</v>
      </c>
      <c r="C3118" s="3" t="s">
        <v>15</v>
      </c>
      <c r="D3118" s="4">
        <v>1323.6</v>
      </c>
      <c r="E3118" s="4">
        <v>324</v>
      </c>
      <c r="F3118" s="8">
        <v>0.76</v>
      </c>
      <c r="H3118" s="11"/>
      <c r="I3118" s="11"/>
      <c r="J3118" s="11"/>
    </row>
    <row r="3119" spans="1:10" ht="15.75" x14ac:dyDescent="0.3">
      <c r="A3119" s="13" t="str">
        <f>HYPERLINK("https://parts-sales.ru/parts/MAN/81624100324","81.62410-0324")</f>
        <v>81.62410-0324</v>
      </c>
      <c r="B3119" s="13" t="str">
        <f>HYPERLINK("https://parts-sales.ru/parts/MAN/81624100324","Фасонная пена Дверной шарнир")</f>
        <v>Фасонная пена Дверной шарнир</v>
      </c>
      <c r="C3119" s="5" t="s">
        <v>15</v>
      </c>
      <c r="D3119" s="6">
        <v>1456.8</v>
      </c>
      <c r="E3119" s="6">
        <v>448</v>
      </c>
      <c r="F3119" s="9">
        <v>0.69</v>
      </c>
      <c r="H3119" s="11"/>
      <c r="I3119" s="11"/>
      <c r="J3119" s="11"/>
    </row>
    <row r="3120" spans="1:10" ht="15.75" x14ac:dyDescent="0.3">
      <c r="A3120" s="12" t="str">
        <f>HYPERLINK("https://parts-sales.ru/parts/MAN/81624100325","81.62410-0325")</f>
        <v>81.62410-0325</v>
      </c>
      <c r="B3120" s="12" t="str">
        <f>HYPERLINK("https://parts-sales.ru/parts/MAN/81624100325","Фасонная пена Дверной шарнир")</f>
        <v>Фасонная пена Дверной шарнир</v>
      </c>
      <c r="C3120" s="3" t="s">
        <v>15</v>
      </c>
      <c r="D3120" s="4">
        <v>1258.8</v>
      </c>
      <c r="E3120" s="4">
        <v>446</v>
      </c>
      <c r="F3120" s="8">
        <v>0.65</v>
      </c>
      <c r="H3120" s="11"/>
      <c r="I3120" s="11"/>
      <c r="J3120" s="11"/>
    </row>
    <row r="3121" spans="1:10" ht="15.75" x14ac:dyDescent="0.3">
      <c r="A3121" s="13" t="str">
        <f>HYPERLINK("https://parts-sales.ru/parts/MAN/81624300030","81.62430-0030")</f>
        <v>81.62430-0030</v>
      </c>
      <c r="B3121" s="13" t="str">
        <f>HYPERLINK("https://parts-sales.ru/parts/MAN/81624300030","Самоходное шасси")</f>
        <v>Самоходное шасси</v>
      </c>
      <c r="C3121" s="5" t="s">
        <v>15</v>
      </c>
      <c r="D3121" s="6">
        <v>3603.6</v>
      </c>
      <c r="E3121" s="6">
        <v>880</v>
      </c>
      <c r="F3121" s="9">
        <v>0.76</v>
      </c>
      <c r="H3121" s="11"/>
      <c r="I3121" s="11"/>
      <c r="J3121" s="11"/>
    </row>
    <row r="3122" spans="1:10" ht="15.75" x14ac:dyDescent="0.3">
      <c r="A3122" s="12" t="str">
        <f>HYPERLINK("https://parts-sales.ru/parts/MAN/81624300086","81.62430-0086")</f>
        <v>81.62430-0086</v>
      </c>
      <c r="B3122" s="12" t="str">
        <f>HYPERLINK("https://parts-sales.ru/parts/MAN/81624300086","Внутренняя обшивка тисненый")</f>
        <v>Внутренняя обшивка тисненый</v>
      </c>
      <c r="C3122" s="3" t="s">
        <v>15</v>
      </c>
      <c r="D3122" s="4">
        <v>1700.4</v>
      </c>
      <c r="E3122" s="4">
        <v>497</v>
      </c>
      <c r="F3122" s="8">
        <v>0.71</v>
      </c>
      <c r="H3122" s="11"/>
      <c r="I3122" s="11"/>
      <c r="J3122" s="11"/>
    </row>
    <row r="3123" spans="1:10" ht="15.75" x14ac:dyDescent="0.3">
      <c r="A3123" s="13" t="str">
        <f>HYPERLINK("https://parts-sales.ru/parts/MAN/81624300112","81.62430-0112")</f>
        <v>81.62430-0112</v>
      </c>
      <c r="B3123" s="13" t="str">
        <f>HYPERLINK("https://parts-sales.ru/parts/MAN/81624300112","Внутренняя обшивка тисненый")</f>
        <v>Внутренняя обшивка тисненый</v>
      </c>
      <c r="C3123" s="5" t="s">
        <v>15</v>
      </c>
      <c r="D3123" s="6">
        <v>6940.8</v>
      </c>
      <c r="E3123" s="6">
        <v>1962</v>
      </c>
      <c r="F3123" s="9">
        <v>0.72</v>
      </c>
      <c r="H3123" s="11"/>
      <c r="I3123" s="11"/>
      <c r="J3123" s="11"/>
    </row>
    <row r="3124" spans="1:10" ht="15.75" x14ac:dyDescent="0.3">
      <c r="A3124" s="12" t="str">
        <f>HYPERLINK("https://parts-sales.ru/parts/MAN/81624300113","81.62430-0113")</f>
        <v>81.62430-0113</v>
      </c>
      <c r="B3124" s="12" t="str">
        <f>HYPERLINK("https://parts-sales.ru/parts/MAN/81624300113","Внутренняя обшивка тисненый")</f>
        <v>Внутренняя обшивка тисненый</v>
      </c>
      <c r="C3124" s="3" t="s">
        <v>15</v>
      </c>
      <c r="D3124" s="4">
        <v>7875.6</v>
      </c>
      <c r="E3124" s="4">
        <v>1677</v>
      </c>
      <c r="F3124" s="8">
        <v>0.79</v>
      </c>
      <c r="H3124" s="11"/>
      <c r="I3124" s="11"/>
      <c r="J3124" s="11"/>
    </row>
    <row r="3125" spans="1:10" ht="15.75" x14ac:dyDescent="0.3">
      <c r="A3125" s="13" t="str">
        <f>HYPERLINK("https://parts-sales.ru/parts/MAN/81624300157","81.62430-0157")</f>
        <v>81.62430-0157</v>
      </c>
      <c r="B3125" s="13" t="str">
        <f>HYPERLINK("https://parts-sales.ru/parts/MAN/81624300157","Профильная планка L/R15-L/R37")</f>
        <v>Профильная планка L/R15-L/R37</v>
      </c>
      <c r="C3125" s="5" t="s">
        <v>15</v>
      </c>
      <c r="D3125" s="6">
        <v>2709.6</v>
      </c>
      <c r="E3125" s="6">
        <v>549</v>
      </c>
      <c r="F3125" s="9">
        <v>0.8</v>
      </c>
      <c r="H3125" s="11"/>
      <c r="I3125" s="11"/>
      <c r="J3125" s="11"/>
    </row>
    <row r="3126" spans="1:10" ht="15.75" x14ac:dyDescent="0.3">
      <c r="A3126" s="12" t="str">
        <f>HYPERLINK("https://parts-sales.ru/parts/MAN/81624300159","81.62430-0159")</f>
        <v>81.62430-0159</v>
      </c>
      <c r="B3126" s="12" t="str">
        <f>HYPERLINK("https://parts-sales.ru/parts/MAN/81624300159","Профильная планка")</f>
        <v>Профильная планка</v>
      </c>
      <c r="C3126" s="3" t="s">
        <v>15</v>
      </c>
      <c r="D3126" s="4">
        <v>2340</v>
      </c>
      <c r="E3126" s="4">
        <v>549</v>
      </c>
      <c r="F3126" s="8">
        <v>0.77</v>
      </c>
      <c r="H3126" s="11"/>
      <c r="I3126" s="11"/>
      <c r="J3126" s="11"/>
    </row>
    <row r="3127" spans="1:10" ht="15.75" x14ac:dyDescent="0.3">
      <c r="A3127" s="13" t="str">
        <f>HYPERLINK("https://parts-sales.ru/parts/MAN/81624300162","81.62430-0162")</f>
        <v>81.62430-0162</v>
      </c>
      <c r="B3127" s="13" t="str">
        <f>HYPERLINK("https://parts-sales.ru/parts/MAN/81624300162","Кожух Обшивка колонн")</f>
        <v>Кожух Обшивка колонн</v>
      </c>
      <c r="C3127" s="5" t="s">
        <v>15</v>
      </c>
      <c r="D3127" s="6">
        <v>253.2</v>
      </c>
      <c r="E3127" s="6">
        <v>54</v>
      </c>
      <c r="F3127" s="9">
        <v>0.79</v>
      </c>
      <c r="H3127" s="11"/>
      <c r="I3127" s="11"/>
      <c r="J3127" s="11"/>
    </row>
    <row r="3128" spans="1:10" ht="15.75" x14ac:dyDescent="0.3">
      <c r="A3128" s="12" t="str">
        <f>HYPERLINK("https://parts-sales.ru/parts/MAN/81624300163","81.62430-0163")</f>
        <v>81.62430-0163</v>
      </c>
      <c r="B3128" s="12" t="str">
        <f>HYPERLINK("https://parts-sales.ru/parts/MAN/81624300163","Кожух Обшивка колонн")</f>
        <v>Кожух Обшивка колонн</v>
      </c>
      <c r="C3128" s="3" t="s">
        <v>15</v>
      </c>
      <c r="D3128" s="4">
        <v>253.2</v>
      </c>
      <c r="E3128" s="4">
        <v>54</v>
      </c>
      <c r="F3128" s="8">
        <v>0.79</v>
      </c>
      <c r="H3128" s="11"/>
      <c r="I3128" s="11"/>
      <c r="J3128" s="11"/>
    </row>
    <row r="3129" spans="1:10" ht="15.75" x14ac:dyDescent="0.3">
      <c r="A3129" s="13" t="str">
        <f>HYPERLINK("https://parts-sales.ru/parts/MAN/81624506029","81.62450-6029")</f>
        <v>81.62450-6029</v>
      </c>
      <c r="B3129" s="13" t="str">
        <f>HYPERLINK("https://parts-sales.ru/parts/MAN/81624506029","Ветровое стекло Автом. с левост. распол.")</f>
        <v>Ветровое стекло Автом. с левост. распол.</v>
      </c>
      <c r="C3129" s="5" t="s">
        <v>39</v>
      </c>
      <c r="D3129" s="6">
        <v>115795.3</v>
      </c>
      <c r="E3129" s="6">
        <v>77224</v>
      </c>
      <c r="F3129" s="9">
        <v>0.33</v>
      </c>
      <c r="H3129" s="11"/>
      <c r="I3129" s="11"/>
      <c r="J3129" s="11"/>
    </row>
    <row r="3130" spans="1:10" ht="15.75" x14ac:dyDescent="0.3">
      <c r="A3130" s="12" t="str">
        <f>HYPERLINK("https://parts-sales.ru/parts/MAN/81625104556","81.62510-4556")</f>
        <v>81.62510-4556</v>
      </c>
      <c r="B3130" s="12" t="str">
        <f>HYPERLINK("https://parts-sales.ru/parts/MAN/81625104556","Держатель L/R10-37")</f>
        <v>Держатель L/R10-37</v>
      </c>
      <c r="C3130" s="3" t="s">
        <v>15</v>
      </c>
      <c r="D3130" s="4">
        <v>17176.39</v>
      </c>
      <c r="E3130" s="4">
        <v>7174</v>
      </c>
      <c r="F3130" s="8">
        <v>0.57999999999999996</v>
      </c>
      <c r="H3130" s="11"/>
      <c r="I3130" s="11"/>
      <c r="J3130" s="11"/>
    </row>
    <row r="3131" spans="1:10" ht="15.75" x14ac:dyDescent="0.3">
      <c r="A3131" s="13" t="str">
        <f>HYPERLINK("https://parts-sales.ru/parts/MAN/81625302338","81.62530-2338")</f>
        <v>81.62530-2338</v>
      </c>
      <c r="B3131" s="13" t="str">
        <f>HYPERLINK("https://parts-sales.ru/parts/MAN/81625302338","Плата с резьбой")</f>
        <v>Плата с резьбой</v>
      </c>
      <c r="C3131" s="5" t="s">
        <v>15</v>
      </c>
      <c r="D3131" s="6">
        <v>810</v>
      </c>
      <c r="E3131" s="6">
        <v>253</v>
      </c>
      <c r="F3131" s="9">
        <v>0.69</v>
      </c>
      <c r="H3131" s="11"/>
      <c r="I3131" s="11"/>
      <c r="J3131" s="11"/>
    </row>
    <row r="3132" spans="1:10" ht="15.75" x14ac:dyDescent="0.3">
      <c r="A3132" s="12" t="str">
        <f>HYPERLINK("https://parts-sales.ru/parts/MAN/81625302346","81.62530-2346")</f>
        <v>81.62530-2346</v>
      </c>
      <c r="B3132" s="12" t="str">
        <f>HYPERLINK("https://parts-sales.ru/parts/MAN/81625302346","Боковая стенка L/R10-37")</f>
        <v>Боковая стенка L/R10-37</v>
      </c>
      <c r="C3132" s="3" t="s">
        <v>15</v>
      </c>
      <c r="D3132" s="4">
        <v>10536</v>
      </c>
      <c r="E3132" s="4">
        <v>3384</v>
      </c>
      <c r="F3132" s="8">
        <v>0.68</v>
      </c>
      <c r="H3132" s="11"/>
      <c r="I3132" s="11"/>
      <c r="J3132" s="11"/>
    </row>
    <row r="3133" spans="1:10" ht="15.75" x14ac:dyDescent="0.3">
      <c r="A3133" s="13" t="str">
        <f>HYPERLINK("https://parts-sales.ru/parts/MAN/81625304389","81.62530-4389")</f>
        <v>81.62530-4389</v>
      </c>
      <c r="B3133" s="13" t="str">
        <f>HYPERLINK("https://parts-sales.ru/parts/MAN/81625304389","Боковина L/R15")</f>
        <v>Боковина L/R15</v>
      </c>
      <c r="C3133" s="5" t="s">
        <v>15</v>
      </c>
      <c r="D3133" s="6">
        <v>194252.4</v>
      </c>
      <c r="E3133" s="6">
        <v>40070</v>
      </c>
      <c r="F3133" s="9">
        <v>0.79</v>
      </c>
      <c r="H3133" s="11"/>
      <c r="I3133" s="11"/>
      <c r="J3133" s="11"/>
    </row>
    <row r="3134" spans="1:10" ht="15.75" x14ac:dyDescent="0.3">
      <c r="A3134" s="12" t="str">
        <f>HYPERLINK("https://parts-sales.ru/parts/MAN/81625304392","81.62530-4392")</f>
        <v>81.62530-4392</v>
      </c>
      <c r="B3134" s="12" t="str">
        <f>HYPERLINK("https://parts-sales.ru/parts/MAN/81625304392","Боковина F99L/R15")</f>
        <v>Боковина F99L/R15</v>
      </c>
      <c r="C3134" s="3" t="s">
        <v>15</v>
      </c>
      <c r="D3134" s="4">
        <v>83725.27</v>
      </c>
      <c r="E3134" s="4">
        <v>39072</v>
      </c>
      <c r="F3134" s="8">
        <v>0.53</v>
      </c>
      <c r="H3134" s="11"/>
      <c r="I3134" s="11"/>
      <c r="J3134" s="11"/>
    </row>
    <row r="3135" spans="1:10" ht="15.75" x14ac:dyDescent="0.3">
      <c r="A3135" s="13" t="str">
        <f>HYPERLINK("https://parts-sales.ru/parts/MAN/81625400030","81.62540-0030")</f>
        <v>81.62540-0030</v>
      </c>
      <c r="B3135" s="13" t="str">
        <f>HYPERLINK("https://parts-sales.ru/parts/MAN/81625400030","Зажим")</f>
        <v>Зажим</v>
      </c>
      <c r="C3135" s="5" t="s">
        <v>15</v>
      </c>
      <c r="D3135" s="6">
        <v>574.79999999999995</v>
      </c>
      <c r="E3135" s="6">
        <v>140</v>
      </c>
      <c r="F3135" s="9">
        <v>0.76</v>
      </c>
      <c r="H3135" s="11"/>
      <c r="I3135" s="11"/>
      <c r="J3135" s="11"/>
    </row>
    <row r="3136" spans="1:10" ht="15.75" x14ac:dyDescent="0.3">
      <c r="A3136" s="12" t="str">
        <f>HYPERLINK("https://parts-sales.ru/parts/MAN/81625400031","81.62540-0031")</f>
        <v>81.62540-0031</v>
      </c>
      <c r="B3136" s="12" t="str">
        <f>HYPERLINK("https://parts-sales.ru/parts/MAN/81625400031","Прижимная пружина")</f>
        <v>Прижимная пружина</v>
      </c>
      <c r="C3136" s="3" t="s">
        <v>15</v>
      </c>
      <c r="D3136" s="4">
        <v>207.6</v>
      </c>
      <c r="E3136" s="4">
        <v>55</v>
      </c>
      <c r="F3136" s="8">
        <v>0.74</v>
      </c>
      <c r="H3136" s="11"/>
      <c r="I3136" s="11"/>
      <c r="J3136" s="11"/>
    </row>
    <row r="3137" spans="1:10" ht="15.75" x14ac:dyDescent="0.3">
      <c r="A3137" s="13" t="str">
        <f>HYPERLINK("https://parts-sales.ru/parts/MAN/81625400035","81.62540-0035")</f>
        <v>81.62540-0035</v>
      </c>
      <c r="B3137" s="13" t="str">
        <f>HYPERLINK("https://parts-sales.ru/parts/MAN/81625400035","Зажим")</f>
        <v>Зажим</v>
      </c>
      <c r="C3137" s="5" t="s">
        <v>15</v>
      </c>
      <c r="D3137" s="6">
        <v>574.79999999999995</v>
      </c>
      <c r="E3137" s="6">
        <v>141</v>
      </c>
      <c r="F3137" s="9">
        <v>0.75</v>
      </c>
      <c r="H3137" s="11"/>
      <c r="I3137" s="11"/>
      <c r="J3137" s="11"/>
    </row>
    <row r="3138" spans="1:10" ht="15.75" x14ac:dyDescent="0.3">
      <c r="A3138" s="12" t="str">
        <f>HYPERLINK("https://parts-sales.ru/parts/MAN/81625710095","81.62571-0095")</f>
        <v>81.62571-0095</v>
      </c>
      <c r="B3138" s="12" t="str">
        <f>HYPERLINK("https://parts-sales.ru/parts/MAN/81625710095","Кожух слева")</f>
        <v>Кожух слева</v>
      </c>
      <c r="C3138" s="3" t="s">
        <v>15</v>
      </c>
      <c r="D3138" s="4">
        <v>3140.4</v>
      </c>
      <c r="E3138" s="4">
        <v>726</v>
      </c>
      <c r="F3138" s="8">
        <v>0.77</v>
      </c>
      <c r="H3138" s="11"/>
      <c r="I3138" s="11"/>
      <c r="J3138" s="11"/>
    </row>
    <row r="3139" spans="1:10" ht="15.75" x14ac:dyDescent="0.3">
      <c r="A3139" s="13" t="str">
        <f>HYPERLINK("https://parts-sales.ru/parts/MAN/81625710096","81.62571-0096")</f>
        <v>81.62571-0096</v>
      </c>
      <c r="B3139" s="13" t="str">
        <f>HYPERLINK("https://parts-sales.ru/parts/MAN/81625710096","Кожух справа")</f>
        <v>Кожух справа</v>
      </c>
      <c r="C3139" s="5" t="s">
        <v>15</v>
      </c>
      <c r="D3139" s="6">
        <v>3140.4</v>
      </c>
      <c r="E3139" s="6">
        <v>557</v>
      </c>
      <c r="F3139" s="9">
        <v>0.82</v>
      </c>
      <c r="H3139" s="11"/>
      <c r="I3139" s="11"/>
      <c r="J3139" s="11"/>
    </row>
    <row r="3140" spans="1:10" ht="15.75" x14ac:dyDescent="0.3">
      <c r="A3140" s="12" t="str">
        <f>HYPERLINK("https://parts-sales.ru/parts/MAN/81625710097","81.62571-0097")</f>
        <v>81.62571-0097</v>
      </c>
      <c r="B3140" s="12" t="str">
        <f>HYPERLINK("https://parts-sales.ru/parts/MAN/81625710097","Крышка")</f>
        <v>Крышка</v>
      </c>
      <c r="C3140" s="3" t="s">
        <v>15</v>
      </c>
      <c r="D3140" s="4">
        <v>591.6</v>
      </c>
      <c r="E3140" s="4">
        <v>137</v>
      </c>
      <c r="F3140" s="8">
        <v>0.77</v>
      </c>
      <c r="H3140" s="11"/>
      <c r="I3140" s="11"/>
      <c r="J3140" s="11"/>
    </row>
    <row r="3141" spans="1:10" ht="15.75" x14ac:dyDescent="0.3">
      <c r="A3141" s="13" t="str">
        <f>HYPERLINK("https://parts-sales.ru/parts/MAN/81625710111","81.62571-0111")</f>
        <v>81.62571-0111</v>
      </c>
      <c r="B3141" s="13" t="str">
        <f>HYPERLINK("https://parts-sales.ru/parts/MAN/81625710111","Ограждающая рама")</f>
        <v>Ограждающая рама</v>
      </c>
      <c r="C3141" s="5" t="s">
        <v>15</v>
      </c>
      <c r="D3141" s="6">
        <v>6231.6</v>
      </c>
      <c r="E3141" s="6">
        <v>863</v>
      </c>
      <c r="F3141" s="9">
        <v>0.86</v>
      </c>
      <c r="H3141" s="11"/>
      <c r="I3141" s="11"/>
      <c r="J3141" s="11"/>
    </row>
    <row r="3142" spans="1:10" ht="15.75" x14ac:dyDescent="0.3">
      <c r="A3142" s="12" t="str">
        <f>HYPERLINK("https://parts-sales.ru/parts/MAN/81625716085","81.62571-6085")</f>
        <v>81.62571-6085</v>
      </c>
      <c r="B3142" s="12" t="str">
        <f>HYPERLINK("https://parts-sales.ru/parts/MAN/81625716085","Обшивка боковой стенки")</f>
        <v>Обшивка боковой стенки</v>
      </c>
      <c r="C3142" s="3" t="s">
        <v>15</v>
      </c>
      <c r="D3142" s="4">
        <v>28924.799999999999</v>
      </c>
      <c r="E3142" s="4">
        <v>5917</v>
      </c>
      <c r="F3142" s="8">
        <v>0.8</v>
      </c>
      <c r="H3142" s="11"/>
      <c r="I3142" s="11"/>
      <c r="J3142" s="11"/>
    </row>
    <row r="3143" spans="1:10" ht="15.75" x14ac:dyDescent="0.3">
      <c r="A3143" s="13" t="str">
        <f>HYPERLINK("https://parts-sales.ru/parts/MAN/81625716385","81.62571-6385")</f>
        <v>81.62571-6385</v>
      </c>
      <c r="B3143" s="13" t="str">
        <f>HYPERLINK("https://parts-sales.ru/parts/MAN/81625716385","Обшивка боковой стенки TN/TM")</f>
        <v>Обшивка боковой стенки TN/TM</v>
      </c>
      <c r="C3143" s="5" t="s">
        <v>15</v>
      </c>
      <c r="D3143" s="6">
        <v>21524.400000000001</v>
      </c>
      <c r="E3143" s="6">
        <v>5057</v>
      </c>
      <c r="F3143" s="9">
        <v>0.77</v>
      </c>
      <c r="H3143" s="11"/>
      <c r="I3143" s="11"/>
      <c r="J3143" s="11"/>
    </row>
    <row r="3144" spans="1:10" ht="15.75" x14ac:dyDescent="0.3">
      <c r="A3144" s="12" t="str">
        <f>HYPERLINK("https://parts-sales.ru/parts/MAN/81626102114","81.62610-2114")</f>
        <v>81.62610-2114</v>
      </c>
      <c r="B3144" s="12" t="str">
        <f>HYPERLINK("https://parts-sales.ru/parts/MAN/81626102114","Демпферная плата 800X150")</f>
        <v>Демпферная плата 800X150</v>
      </c>
      <c r="C3144" s="3" t="s">
        <v>15</v>
      </c>
      <c r="D3144" s="4">
        <v>4500</v>
      </c>
      <c r="E3144" s="4">
        <v>1688</v>
      </c>
      <c r="F3144" s="8">
        <v>0.62</v>
      </c>
      <c r="H3144" s="11"/>
      <c r="I3144" s="11"/>
      <c r="J3144" s="11"/>
    </row>
    <row r="3145" spans="1:10" ht="15.75" x14ac:dyDescent="0.3">
      <c r="A3145" s="13" t="str">
        <f>HYPERLINK("https://parts-sales.ru/parts/MAN/81626300089","81.62630-0089")</f>
        <v>81.62630-0089</v>
      </c>
      <c r="B3145" s="13" t="str">
        <f>HYPERLINK("https://parts-sales.ru/parts/MAN/81626300089","Оконная рама")</f>
        <v>Оконная рама</v>
      </c>
      <c r="C3145" s="5" t="s">
        <v>15</v>
      </c>
      <c r="D3145" s="6">
        <v>22186.22</v>
      </c>
      <c r="E3145" s="6">
        <v>13239</v>
      </c>
      <c r="F3145" s="9">
        <v>0.4</v>
      </c>
      <c r="H3145" s="11"/>
      <c r="I3145" s="11"/>
      <c r="J3145" s="11"/>
    </row>
    <row r="3146" spans="1:10" ht="15.75" x14ac:dyDescent="0.3">
      <c r="A3146" s="12" t="str">
        <f>HYPERLINK("https://parts-sales.ru/parts/MAN/81626300096","81.62630-0096")</f>
        <v>81.62630-0096</v>
      </c>
      <c r="B3146" s="12" t="str">
        <f>HYPERLINK("https://parts-sales.ru/parts/MAN/81626300096","Кожух")</f>
        <v>Кожух</v>
      </c>
      <c r="C3146" s="3" t="s">
        <v>15</v>
      </c>
      <c r="D3146" s="4">
        <v>333.6</v>
      </c>
      <c r="E3146" s="4">
        <v>72</v>
      </c>
      <c r="F3146" s="8">
        <v>0.78</v>
      </c>
      <c r="H3146" s="11"/>
      <c r="I3146" s="11"/>
      <c r="J3146" s="11"/>
    </row>
    <row r="3147" spans="1:10" ht="15.75" x14ac:dyDescent="0.3">
      <c r="A3147" s="13" t="str">
        <f>HYPERLINK("https://parts-sales.ru/parts/MAN/81626302435","81.62630-2435")</f>
        <v>81.62630-2435</v>
      </c>
      <c r="B3147" s="13" t="str">
        <f>HYPERLINK("https://parts-sales.ru/parts/MAN/81626302435","Флис Обшивка двери")</f>
        <v>Флис Обшивка двери</v>
      </c>
      <c r="C3147" s="5" t="s">
        <v>15</v>
      </c>
      <c r="D3147" s="6">
        <v>2340</v>
      </c>
      <c r="E3147" s="6">
        <v>577</v>
      </c>
      <c r="F3147" s="9">
        <v>0.75</v>
      </c>
      <c r="H3147" s="11"/>
      <c r="I3147" s="11"/>
      <c r="J3147" s="11"/>
    </row>
    <row r="3148" spans="1:10" ht="15.75" x14ac:dyDescent="0.3">
      <c r="A3148" s="12" t="str">
        <f>HYPERLINK("https://parts-sales.ru/parts/MAN/81626304153","81.62630-4153")</f>
        <v>81.62630-4153</v>
      </c>
      <c r="B3148" s="12" t="str">
        <f>HYPERLINK("https://parts-sales.ru/parts/MAN/81626304153","Насадка")</f>
        <v>Насадка</v>
      </c>
      <c r="C3148" s="3" t="s">
        <v>15</v>
      </c>
      <c r="D3148" s="4">
        <v>4555.2</v>
      </c>
      <c r="E3148" s="4">
        <v>2566</v>
      </c>
      <c r="F3148" s="8">
        <v>0.44</v>
      </c>
      <c r="H3148" s="11"/>
      <c r="I3148" s="11"/>
      <c r="J3148" s="11"/>
    </row>
    <row r="3149" spans="1:10" ht="15.75" x14ac:dyDescent="0.3">
      <c r="A3149" s="13" t="str">
        <f>HYPERLINK("https://parts-sales.ru/parts/MAN/81626305147","81.62630-5147")</f>
        <v>81.62630-5147</v>
      </c>
      <c r="B3149" s="13" t="str">
        <f>HYPERLINK("https://parts-sales.ru/parts/MAN/81626305147","Обшивка двери L/R10-37")</f>
        <v>Обшивка двери L/R10-37</v>
      </c>
      <c r="C3149" s="5" t="s">
        <v>15</v>
      </c>
      <c r="D3149" s="6">
        <v>37680</v>
      </c>
      <c r="E3149" s="6">
        <v>11517</v>
      </c>
      <c r="F3149" s="9">
        <v>0.69</v>
      </c>
      <c r="H3149" s="11"/>
      <c r="I3149" s="11"/>
      <c r="J3149" s="11"/>
    </row>
    <row r="3150" spans="1:10" ht="15.75" x14ac:dyDescent="0.3">
      <c r="A3150" s="12" t="str">
        <f>HYPERLINK("https://parts-sales.ru/parts/MAN/81626305148","81.62630-5148")</f>
        <v>81.62630-5148</v>
      </c>
      <c r="B3150" s="12" t="str">
        <f>HYPERLINK("https://parts-sales.ru/parts/MAN/81626305148","Обшивка двери L/R10-37")</f>
        <v>Обшивка двери L/R10-37</v>
      </c>
      <c r="C3150" s="3" t="s">
        <v>15</v>
      </c>
      <c r="D3150" s="4">
        <v>37680</v>
      </c>
      <c r="E3150" s="4">
        <v>8129</v>
      </c>
      <c r="F3150" s="8">
        <v>0.78</v>
      </c>
      <c r="H3150" s="11"/>
      <c r="I3150" s="11"/>
      <c r="J3150" s="11"/>
    </row>
    <row r="3151" spans="1:10" ht="15.75" x14ac:dyDescent="0.3">
      <c r="A3151" s="13" t="str">
        <f>HYPERLINK("https://parts-sales.ru/parts/MAN/81626305178","81.62630-5178")</f>
        <v>81.62630-5178</v>
      </c>
      <c r="B3151" s="13" t="str">
        <f>HYPERLINK("https://parts-sales.ru/parts/MAN/81626305178","Заслонка держатель переключателя")</f>
        <v>Заслонка держатель переключателя</v>
      </c>
      <c r="C3151" s="5" t="s">
        <v>15</v>
      </c>
      <c r="D3151" s="6">
        <v>688.8</v>
      </c>
      <c r="E3151" s="6">
        <v>252</v>
      </c>
      <c r="F3151" s="9">
        <v>0.63</v>
      </c>
      <c r="H3151" s="11"/>
      <c r="I3151" s="11"/>
      <c r="J3151" s="11"/>
    </row>
    <row r="3152" spans="1:10" ht="15.75" x14ac:dyDescent="0.3">
      <c r="A3152" s="12" t="str">
        <f>HYPERLINK("https://parts-sales.ru/parts/MAN/81626306222","81.62630-6222")</f>
        <v>81.62630-6222</v>
      </c>
      <c r="B3152" s="12" t="str">
        <f>HYPERLINK("https://parts-sales.ru/parts/MAN/81626306222","Обшивка двери широкий")</f>
        <v>Обшивка двери широкий</v>
      </c>
      <c r="C3152" s="3" t="s">
        <v>15</v>
      </c>
      <c r="D3152" s="4">
        <v>67782</v>
      </c>
      <c r="E3152" s="4">
        <v>16767</v>
      </c>
      <c r="F3152" s="8">
        <v>0.75</v>
      </c>
      <c r="H3152" s="11"/>
      <c r="I3152" s="11"/>
      <c r="J3152" s="11"/>
    </row>
    <row r="3153" spans="1:10" ht="15.75" x14ac:dyDescent="0.3">
      <c r="A3153" s="13" t="str">
        <f>HYPERLINK("https://parts-sales.ru/parts/MAN/81626306237","81.62630-6237")</f>
        <v>81.62630-6237</v>
      </c>
      <c r="B3153" s="13" t="str">
        <f>HYPERLINK("https://parts-sales.ru/parts/MAN/81626306237","Обшивка двери широкий")</f>
        <v>Обшивка двери широкий</v>
      </c>
      <c r="C3153" s="5" t="s">
        <v>15</v>
      </c>
      <c r="D3153" s="6">
        <v>36874.74</v>
      </c>
      <c r="E3153" s="6">
        <v>24137</v>
      </c>
      <c r="F3153" s="9">
        <v>0.35</v>
      </c>
      <c r="H3153" s="11"/>
      <c r="I3153" s="11"/>
      <c r="J3153" s="11"/>
    </row>
    <row r="3154" spans="1:10" ht="15.75" x14ac:dyDescent="0.3">
      <c r="A3154" s="12" t="str">
        <f>HYPERLINK("https://parts-sales.ru/parts/MAN/81626400108","81.62640-0108")</f>
        <v>81.62640-0108</v>
      </c>
      <c r="B3154" s="12" t="str">
        <f>HYPERLINK("https://parts-sales.ru/parts/MAN/81626400108","Пружинный")</f>
        <v>Пружинный</v>
      </c>
      <c r="C3154" s="3" t="s">
        <v>15</v>
      </c>
      <c r="D3154" s="4">
        <v>163.19999999999999</v>
      </c>
      <c r="E3154" s="4">
        <v>64</v>
      </c>
      <c r="F3154" s="8">
        <v>0.61</v>
      </c>
      <c r="H3154" s="11"/>
      <c r="I3154" s="11"/>
      <c r="J3154" s="11"/>
    </row>
    <row r="3155" spans="1:10" ht="15.75" x14ac:dyDescent="0.3">
      <c r="A3155" s="13" t="str">
        <f>HYPERLINK("https://parts-sales.ru/parts/MAN/81626406060","81.62640-6060")</f>
        <v>81.62640-6060</v>
      </c>
      <c r="B3155" s="13" t="str">
        <f>HYPERLINK("https://parts-sales.ru/parts/MAN/81626406060","Рем комплект шасси")</f>
        <v>Рем комплект шасси</v>
      </c>
      <c r="C3155" s="5" t="s">
        <v>15</v>
      </c>
      <c r="D3155" s="6">
        <v>1752</v>
      </c>
      <c r="E3155" s="6">
        <v>490</v>
      </c>
      <c r="F3155" s="9">
        <v>0.72</v>
      </c>
      <c r="H3155" s="11"/>
      <c r="I3155" s="11"/>
      <c r="J3155" s="11"/>
    </row>
    <row r="3156" spans="1:10" ht="15.75" x14ac:dyDescent="0.3">
      <c r="A3156" s="12" t="str">
        <f>HYPERLINK("https://parts-sales.ru/parts/MAN/81626416086","81.62641-6086")</f>
        <v>81.62641-6086</v>
      </c>
      <c r="B3156" s="12" t="str">
        <f>HYPERLINK("https://parts-sales.ru/parts/MAN/81626416086","Рем компл центр замка без замка")</f>
        <v>Рем компл центр замка без замка</v>
      </c>
      <c r="C3156" s="3" t="s">
        <v>15</v>
      </c>
      <c r="D3156" s="4">
        <v>31705.200000000001</v>
      </c>
      <c r="E3156" s="4">
        <v>8409</v>
      </c>
      <c r="F3156" s="8">
        <v>0.73</v>
      </c>
      <c r="H3156" s="11"/>
      <c r="I3156" s="11"/>
      <c r="J3156" s="11"/>
    </row>
    <row r="3157" spans="1:10" ht="15.75" x14ac:dyDescent="0.3">
      <c r="A3157" s="13" t="str">
        <f>HYPERLINK("https://parts-sales.ru/parts/MAN/81626450039","81.62645-0039")</f>
        <v>81.62645-0039</v>
      </c>
      <c r="B3157" s="13" t="str">
        <f>HYPERLINK("https://parts-sales.ru/parts/MAN/81626450039","Дверная шайба 924X806X5-ESG-GNGT")</f>
        <v>Дверная шайба 924X806X5-ESG-GNGT</v>
      </c>
      <c r="C3157" s="5" t="s">
        <v>15</v>
      </c>
      <c r="D3157" s="6">
        <v>38211.599999999999</v>
      </c>
      <c r="E3157" s="6">
        <v>11653</v>
      </c>
      <c r="F3157" s="9">
        <v>0.7</v>
      </c>
      <c r="H3157" s="11"/>
      <c r="I3157" s="11"/>
      <c r="J3157" s="11"/>
    </row>
    <row r="3158" spans="1:10" ht="15.75" x14ac:dyDescent="0.3">
      <c r="A3158" s="12" t="str">
        <f>HYPERLINK("https://parts-sales.ru/parts/MAN/81626456052","81.62645-6052")</f>
        <v>81.62645-6052</v>
      </c>
      <c r="B3158" s="12" t="str">
        <f>HYPERLINK("https://parts-sales.ru/parts/MAN/81626456052","Стеклоподъемник")</f>
        <v>Стеклоподъемник</v>
      </c>
      <c r="C3158" s="3" t="s">
        <v>15</v>
      </c>
      <c r="D3158" s="4">
        <v>133208.4</v>
      </c>
      <c r="E3158" s="4">
        <v>24475</v>
      </c>
      <c r="F3158" s="8">
        <v>0.82</v>
      </c>
      <c r="H3158" s="11"/>
      <c r="I3158" s="11"/>
      <c r="J3158" s="11"/>
    </row>
    <row r="3159" spans="1:10" ht="15.75" x14ac:dyDescent="0.3">
      <c r="A3159" s="13" t="str">
        <f>HYPERLINK("https://parts-sales.ru/parts/MAN/81626456063","81.62645-6063")</f>
        <v>81.62645-6063</v>
      </c>
      <c r="B3159" s="13" t="str">
        <f>HYPERLINK("https://parts-sales.ru/parts/MAN/81626456063","Стеклоподъемник электрически")</f>
        <v>Стеклоподъемник электрически</v>
      </c>
      <c r="C3159" s="5" t="s">
        <v>15</v>
      </c>
      <c r="D3159" s="6">
        <v>59782.91</v>
      </c>
      <c r="E3159" s="6">
        <v>35734</v>
      </c>
      <c r="F3159" s="9">
        <v>0.4</v>
      </c>
      <c r="H3159" s="11"/>
      <c r="I3159" s="11"/>
      <c r="J3159" s="11"/>
    </row>
    <row r="3160" spans="1:10" ht="15.75" x14ac:dyDescent="0.3">
      <c r="A3160" s="12" t="str">
        <f>HYPERLINK("https://parts-sales.ru/parts/MAN/81626800049","81.62680-0049")</f>
        <v>81.62680-0049</v>
      </c>
      <c r="B3160" s="12" t="str">
        <f>HYPERLINK("https://parts-sales.ru/parts/MAN/81626800049","Ограничит.ремень дверей")</f>
        <v>Ограничит.ремень дверей</v>
      </c>
      <c r="C3160" s="3" t="s">
        <v>15</v>
      </c>
      <c r="D3160" s="4">
        <v>3286.8</v>
      </c>
      <c r="E3160" s="4">
        <v>859</v>
      </c>
      <c r="F3160" s="8">
        <v>0.74</v>
      </c>
      <c r="H3160" s="11"/>
      <c r="I3160" s="11"/>
      <c r="J3160" s="11"/>
    </row>
    <row r="3161" spans="1:10" ht="15.75" x14ac:dyDescent="0.3">
      <c r="A3161" s="13" t="str">
        <f>HYPERLINK("https://parts-sales.ru/parts/MAN/81626805029","81.62680-5029")</f>
        <v>81.62680-5029</v>
      </c>
      <c r="B3161" s="13" t="str">
        <f>HYPERLINK("https://parts-sales.ru/parts/MAN/81626805029","Фиксатор GM/GN/GX")</f>
        <v>Фиксатор GM/GN/GX</v>
      </c>
      <c r="C3161" s="5" t="s">
        <v>15</v>
      </c>
      <c r="D3161" s="6">
        <v>765.6</v>
      </c>
      <c r="E3161" s="6">
        <v>186</v>
      </c>
      <c r="F3161" s="9">
        <v>0.76</v>
      </c>
      <c r="H3161" s="11"/>
      <c r="I3161" s="11"/>
      <c r="J3161" s="11"/>
    </row>
    <row r="3162" spans="1:10" ht="15.75" x14ac:dyDescent="0.3">
      <c r="A3162" s="12" t="str">
        <f>HYPERLINK("https://parts-sales.ru/parts/MAN/81626805030","81.62680-5030")</f>
        <v>81.62680-5030</v>
      </c>
      <c r="B3162" s="12" t="str">
        <f>HYPERLINK("https://parts-sales.ru/parts/MAN/81626805030","Фиксатор GM/GN/GX")</f>
        <v>Фиксатор GM/GN/GX</v>
      </c>
      <c r="C3162" s="3" t="s">
        <v>15</v>
      </c>
      <c r="D3162" s="4">
        <v>765.6</v>
      </c>
      <c r="E3162" s="4">
        <v>186</v>
      </c>
      <c r="F3162" s="8">
        <v>0.76</v>
      </c>
      <c r="H3162" s="11"/>
      <c r="I3162" s="11"/>
      <c r="J3162" s="11"/>
    </row>
    <row r="3163" spans="1:10" ht="15.75" x14ac:dyDescent="0.3">
      <c r="A3163" s="13" t="str">
        <f>HYPERLINK("https://parts-sales.ru/parts/MAN/81626805031","81.62680-5031")</f>
        <v>81.62680-5031</v>
      </c>
      <c r="B3163" s="13" t="str">
        <f>HYPERLINK("https://parts-sales.ru/parts/MAN/81626805031","Фиксатор GM/GN/GX")</f>
        <v>Фиксатор GM/GN/GX</v>
      </c>
      <c r="C3163" s="5" t="s">
        <v>15</v>
      </c>
      <c r="D3163" s="6">
        <v>765.6</v>
      </c>
      <c r="E3163" s="6">
        <v>186</v>
      </c>
      <c r="F3163" s="9">
        <v>0.76</v>
      </c>
      <c r="H3163" s="11"/>
      <c r="I3163" s="11"/>
      <c r="J3163" s="11"/>
    </row>
    <row r="3164" spans="1:10" ht="15.75" x14ac:dyDescent="0.3">
      <c r="A3164" s="12" t="str">
        <f>HYPERLINK("https://parts-sales.ru/parts/MAN/81626805032","81.62680-5032")</f>
        <v>81.62680-5032</v>
      </c>
      <c r="B3164" s="12" t="str">
        <f>HYPERLINK("https://parts-sales.ru/parts/MAN/81626805032","Фиксатор GM/GN/GX")</f>
        <v>Фиксатор GM/GN/GX</v>
      </c>
      <c r="C3164" s="3" t="s">
        <v>15</v>
      </c>
      <c r="D3164" s="4">
        <v>765.6</v>
      </c>
      <c r="E3164" s="4">
        <v>186</v>
      </c>
      <c r="F3164" s="8">
        <v>0.76</v>
      </c>
      <c r="H3164" s="11"/>
      <c r="I3164" s="11"/>
      <c r="J3164" s="11"/>
    </row>
    <row r="3165" spans="1:10" ht="15.75" x14ac:dyDescent="0.3">
      <c r="A3165" s="13" t="str">
        <f>HYPERLINK("https://parts-sales.ru/parts/MAN/81626806144","81.62680-6144")</f>
        <v>81.62680-6144</v>
      </c>
      <c r="B3165" s="13" t="str">
        <f>HYPERLINK("https://parts-sales.ru/parts/MAN/81626806144","Замок двери")</f>
        <v>Замок двери</v>
      </c>
      <c r="C3165" s="5" t="s">
        <v>15</v>
      </c>
      <c r="D3165" s="6">
        <v>16836</v>
      </c>
      <c r="E3165" s="6">
        <v>5182</v>
      </c>
      <c r="F3165" s="9">
        <v>0.69</v>
      </c>
      <c r="H3165" s="11"/>
      <c r="I3165" s="11"/>
      <c r="J3165" s="11"/>
    </row>
    <row r="3166" spans="1:10" ht="15.75" x14ac:dyDescent="0.3">
      <c r="A3166" s="12" t="str">
        <f>HYPERLINK("https://parts-sales.ru/parts/MAN/81626810025","81.62681-0025")</f>
        <v>81.62681-0025</v>
      </c>
      <c r="B3166" s="12" t="str">
        <f>HYPERLINK("https://parts-sales.ru/parts/MAN/81626810025","Декоративная кромка Выпускной воздухопро")</f>
        <v>Декоративная кромка Выпускной воздухопро</v>
      </c>
      <c r="C3166" s="3" t="s">
        <v>15</v>
      </c>
      <c r="D3166" s="4">
        <v>3423.6</v>
      </c>
      <c r="E3166" s="4">
        <v>1791</v>
      </c>
      <c r="F3166" s="8">
        <v>0.48</v>
      </c>
      <c r="H3166" s="11"/>
      <c r="I3166" s="11"/>
      <c r="J3166" s="11"/>
    </row>
    <row r="3167" spans="1:10" ht="15.75" x14ac:dyDescent="0.3">
      <c r="A3167" s="13" t="str">
        <f>HYPERLINK("https://parts-sales.ru/parts/MAN/81626810026","81.62681-0026")</f>
        <v>81.62681-0026</v>
      </c>
      <c r="B3167" s="13" t="str">
        <f>HYPERLINK("https://parts-sales.ru/parts/MAN/81626810026","Декоративная кромка Выпускной воздухопро")</f>
        <v>Декоративная кромка Выпускной воздухопро</v>
      </c>
      <c r="C3167" s="5" t="s">
        <v>15</v>
      </c>
      <c r="D3167" s="6">
        <v>3137.11</v>
      </c>
      <c r="E3167" s="6">
        <v>1882</v>
      </c>
      <c r="F3167" s="9">
        <v>0.4</v>
      </c>
      <c r="H3167" s="11"/>
      <c r="I3167" s="11"/>
      <c r="J3167" s="11"/>
    </row>
    <row r="3168" spans="1:10" ht="15.75" x14ac:dyDescent="0.3">
      <c r="A3168" s="12" t="str">
        <f>HYPERLINK("https://parts-sales.ru/parts/MAN/81626900065","81.62690-0065")</f>
        <v>81.62690-0065</v>
      </c>
      <c r="B3168" s="12" t="str">
        <f>HYPERLINK("https://parts-sales.ru/parts/MAN/81626900065","Демпферный буфер")</f>
        <v>Демпферный буфер</v>
      </c>
      <c r="C3168" s="3" t="s">
        <v>15</v>
      </c>
      <c r="D3168" s="4">
        <v>589.20000000000005</v>
      </c>
      <c r="E3168" s="4">
        <v>201</v>
      </c>
      <c r="F3168" s="8">
        <v>0.66</v>
      </c>
      <c r="H3168" s="11"/>
      <c r="I3168" s="11"/>
      <c r="J3168" s="11"/>
    </row>
    <row r="3169" spans="1:10" ht="15.75" x14ac:dyDescent="0.3">
      <c r="A3169" s="13" t="str">
        <f>HYPERLINK("https://parts-sales.ru/parts/MAN/81626900066","81.62690-0066")</f>
        <v>81.62690-0066</v>
      </c>
      <c r="B3169" s="13" t="str">
        <f>HYPERLINK("https://parts-sales.ru/parts/MAN/81626900066","Толкатель")</f>
        <v>Толкатель</v>
      </c>
      <c r="C3169" s="5" t="s">
        <v>15</v>
      </c>
      <c r="D3169" s="6">
        <v>314.39999999999998</v>
      </c>
      <c r="E3169" s="6">
        <v>104</v>
      </c>
      <c r="F3169" s="9">
        <v>0.67</v>
      </c>
      <c r="H3169" s="11"/>
      <c r="I3169" s="11"/>
      <c r="J3169" s="11"/>
    </row>
    <row r="3170" spans="1:10" ht="15.75" x14ac:dyDescent="0.3">
      <c r="A3170" s="12" t="str">
        <f>HYPERLINK("https://parts-sales.ru/parts/MAN/81626920002","81.62692-0002")</f>
        <v>81.62692-0002</v>
      </c>
      <c r="B3170" s="12" t="str">
        <f>HYPERLINK("https://parts-sales.ru/parts/MAN/81626920002","Стойка")</f>
        <v>Стойка</v>
      </c>
      <c r="C3170" s="3" t="s">
        <v>15</v>
      </c>
      <c r="D3170" s="4">
        <v>3303.6</v>
      </c>
      <c r="E3170" s="4">
        <v>870</v>
      </c>
      <c r="F3170" s="8">
        <v>0.74</v>
      </c>
      <c r="H3170" s="11"/>
      <c r="I3170" s="11"/>
      <c r="J3170" s="11"/>
    </row>
    <row r="3171" spans="1:10" ht="15.75" x14ac:dyDescent="0.3">
      <c r="A3171" s="13" t="str">
        <f>HYPERLINK("https://parts-sales.ru/parts/MAN/81627102299","81.62710-2299")</f>
        <v>81.62710-2299</v>
      </c>
      <c r="B3171" s="13" t="str">
        <f>HYPERLINK("https://parts-sales.ru/parts/MAN/81627102299","Траверса L/R15-37")</f>
        <v>Траверса L/R15-37</v>
      </c>
      <c r="C3171" s="5" t="s">
        <v>15</v>
      </c>
      <c r="D3171" s="6">
        <v>81117.600000000006</v>
      </c>
      <c r="E3171" s="6">
        <v>18328</v>
      </c>
      <c r="F3171" s="9">
        <v>0.77</v>
      </c>
      <c r="H3171" s="11"/>
      <c r="I3171" s="11"/>
      <c r="J3171" s="11"/>
    </row>
    <row r="3172" spans="1:10" ht="15.75" x14ac:dyDescent="0.3">
      <c r="A3172" s="12" t="str">
        <f>HYPERLINK("https://parts-sales.ru/parts/MAN/81627104415","81.62710-4415")</f>
        <v>81.62710-4415</v>
      </c>
      <c r="B3172" s="12" t="str">
        <f>HYPERLINK("https://parts-sales.ru/parts/MAN/81627104415","Задняя стенка L/R15-37")</f>
        <v>Задняя стенка L/R15-37</v>
      </c>
      <c r="C3172" s="3" t="s">
        <v>15</v>
      </c>
      <c r="D3172" s="4">
        <v>118987.67</v>
      </c>
      <c r="E3172" s="4">
        <v>49786</v>
      </c>
      <c r="F3172" s="8">
        <v>0.57999999999999996</v>
      </c>
      <c r="H3172" s="11"/>
      <c r="I3172" s="11"/>
      <c r="J3172" s="11"/>
    </row>
    <row r="3173" spans="1:10" ht="15.75" x14ac:dyDescent="0.3">
      <c r="A3173" s="13" t="str">
        <f>HYPERLINK("https://parts-sales.ru/parts/MAN/81627405040","81.62740-5040")</f>
        <v>81.62740-5040</v>
      </c>
      <c r="B3173" s="13" t="str">
        <f>HYPERLINK("https://parts-sales.ru/parts/MAN/81627405040","Рычаг L15")</f>
        <v>Рычаг L15</v>
      </c>
      <c r="C3173" s="5" t="s">
        <v>15</v>
      </c>
      <c r="D3173" s="6">
        <v>3064.8</v>
      </c>
      <c r="E3173" s="6">
        <v>671</v>
      </c>
      <c r="F3173" s="9">
        <v>0.78</v>
      </c>
      <c r="H3173" s="11"/>
      <c r="I3173" s="11"/>
      <c r="J3173" s="11"/>
    </row>
    <row r="3174" spans="1:10" ht="15.75" x14ac:dyDescent="0.3">
      <c r="A3174" s="12" t="str">
        <f>HYPERLINK("https://parts-sales.ru/parts/MAN/81627700107","81.62770-0107")</f>
        <v>81.62770-0107</v>
      </c>
      <c r="B3174" s="12" t="str">
        <f>HYPERLINK("https://parts-sales.ru/parts/MAN/81627700107","Внутренняя обшивка F99 L/R15-37")</f>
        <v>Внутренняя обшивка F99 L/R15-37</v>
      </c>
      <c r="C3174" s="3" t="s">
        <v>15</v>
      </c>
      <c r="D3174" s="4">
        <v>59257.51</v>
      </c>
      <c r="E3174" s="4">
        <v>27654</v>
      </c>
      <c r="F3174" s="8">
        <v>0.53</v>
      </c>
      <c r="H3174" s="11"/>
      <c r="I3174" s="11"/>
      <c r="J3174" s="11"/>
    </row>
    <row r="3175" spans="1:10" ht="15.75" x14ac:dyDescent="0.3">
      <c r="A3175" s="13" t="str">
        <f>HYPERLINK("https://parts-sales.ru/parts/MAN/81628114822","81.62811-4822")</f>
        <v>81.62811-4822</v>
      </c>
      <c r="B3175" s="13" t="str">
        <f>HYPERLINK("https://parts-sales.ru/parts/MAN/81628114822","Траверса F99L/R40/41/47")</f>
        <v>Траверса F99L/R40/41/47</v>
      </c>
      <c r="C3175" s="5" t="s">
        <v>15</v>
      </c>
      <c r="D3175" s="6">
        <v>123810</v>
      </c>
      <c r="E3175" s="6">
        <v>27391</v>
      </c>
      <c r="F3175" s="9">
        <v>0.78</v>
      </c>
      <c r="H3175" s="11"/>
      <c r="I3175" s="11"/>
      <c r="J3175" s="11"/>
    </row>
    <row r="3176" spans="1:10" ht="15.75" x14ac:dyDescent="0.3">
      <c r="A3176" s="12" t="str">
        <f>HYPERLINK("https://parts-sales.ru/parts/MAN/81628212301","81.62821-2301")</f>
        <v>81.62821-2301</v>
      </c>
      <c r="B3176" s="12" t="str">
        <f>HYPERLINK("https://parts-sales.ru/parts/MAN/81628212301","Держатель L/R40-41")</f>
        <v>Держатель L/R40-41</v>
      </c>
      <c r="C3176" s="3" t="s">
        <v>15</v>
      </c>
      <c r="D3176" s="4">
        <v>2517.6</v>
      </c>
      <c r="E3176" s="4">
        <v>512</v>
      </c>
      <c r="F3176" s="8">
        <v>0.8</v>
      </c>
      <c r="H3176" s="11"/>
      <c r="I3176" s="11"/>
      <c r="J3176" s="11"/>
    </row>
    <row r="3177" spans="1:10" ht="15.75" x14ac:dyDescent="0.3">
      <c r="A3177" s="13" t="str">
        <f>HYPERLINK("https://parts-sales.ru/parts/MAN/81628215499","81.62821-5499")</f>
        <v>81.62821-5499</v>
      </c>
      <c r="B3177" s="13" t="str">
        <f>HYPERLINK("https://parts-sales.ru/parts/MAN/81628215499","Поперечная труба")</f>
        <v>Поперечная труба</v>
      </c>
      <c r="C3177" s="5" t="s">
        <v>15</v>
      </c>
      <c r="D3177" s="6">
        <v>21691.200000000001</v>
      </c>
      <c r="E3177" s="6">
        <v>3958</v>
      </c>
      <c r="F3177" s="9">
        <v>0.82</v>
      </c>
      <c r="H3177" s="11"/>
      <c r="I3177" s="11"/>
      <c r="J3177" s="11"/>
    </row>
    <row r="3178" spans="1:10" ht="15.75" x14ac:dyDescent="0.3">
      <c r="A3178" s="12" t="str">
        <f>HYPERLINK("https://parts-sales.ru/parts/MAN/81628600934","81.62860-0934")</f>
        <v>81.62860-0934</v>
      </c>
      <c r="B3178" s="12" t="str">
        <f>HYPERLINK("https://parts-sales.ru/parts/MAN/81628600934","Pезиновый ковpик L10/15/32/37")</f>
        <v>Pезиновый ковpик L10/15/32/37</v>
      </c>
      <c r="C3178" s="3" t="s">
        <v>15</v>
      </c>
      <c r="D3178" s="4">
        <v>2172.6</v>
      </c>
      <c r="E3178" s="4">
        <v>1449</v>
      </c>
      <c r="F3178" s="8">
        <v>0.33</v>
      </c>
      <c r="H3178" s="11"/>
      <c r="I3178" s="11"/>
      <c r="J3178" s="11"/>
    </row>
    <row r="3179" spans="1:10" ht="15.75" x14ac:dyDescent="0.3">
      <c r="A3179" s="13" t="str">
        <f>HYPERLINK("https://parts-sales.ru/parts/MAN/81628610059","81.62861-0059")</f>
        <v>81.62861-0059</v>
      </c>
      <c r="B3179" s="13" t="str">
        <f>HYPERLINK("https://parts-sales.ru/parts/MAN/81628610059","Ковер L/R 44/45/49")</f>
        <v>Ковер L/R 44/45/49</v>
      </c>
      <c r="C3179" s="5" t="s">
        <v>15</v>
      </c>
      <c r="D3179" s="6">
        <v>17343.599999999999</v>
      </c>
      <c r="E3179" s="6">
        <v>4074</v>
      </c>
      <c r="F3179" s="9">
        <v>0.77</v>
      </c>
      <c r="H3179" s="11"/>
      <c r="I3179" s="11"/>
      <c r="J3179" s="11"/>
    </row>
    <row r="3180" spans="1:10" ht="15.75" x14ac:dyDescent="0.3">
      <c r="A3180" s="12" t="str">
        <f>HYPERLINK("https://parts-sales.ru/parts/MAN/81628610140","81.62861-0140")</f>
        <v>81.62861-0140</v>
      </c>
      <c r="B3180" s="12" t="str">
        <f>HYPERLINK("https://parts-sales.ru/parts/MAN/81628610140","Pезиновый ковpик")</f>
        <v>Pезиновый ковpик</v>
      </c>
      <c r="C3180" s="3" t="s">
        <v>15</v>
      </c>
      <c r="D3180" s="4">
        <v>3889.42</v>
      </c>
      <c r="E3180" s="4">
        <v>2600</v>
      </c>
      <c r="F3180" s="8">
        <v>0.33</v>
      </c>
      <c r="H3180" s="11"/>
      <c r="I3180" s="11"/>
      <c r="J3180" s="11"/>
    </row>
    <row r="3181" spans="1:10" ht="15.75" x14ac:dyDescent="0.3">
      <c r="A3181" s="13" t="str">
        <f>HYPERLINK("https://parts-sales.ru/parts/MAN/81628610141","81.62861-0141")</f>
        <v>81.62861-0141</v>
      </c>
      <c r="B3181" s="13" t="str">
        <f>HYPERLINK("https://parts-sales.ru/parts/MAN/81628610141","Pезиновый ковpик L10/15/32/37")</f>
        <v>Pезиновый ковpик L10/15/32/37</v>
      </c>
      <c r="C3181" s="5" t="s">
        <v>15</v>
      </c>
      <c r="D3181" s="6">
        <v>3592.1</v>
      </c>
      <c r="E3181" s="6">
        <v>1672</v>
      </c>
      <c r="F3181" s="9">
        <v>0.53</v>
      </c>
      <c r="H3181" s="11"/>
      <c r="I3181" s="11"/>
      <c r="J3181" s="11"/>
    </row>
    <row r="3182" spans="1:10" ht="15.75" x14ac:dyDescent="0.3">
      <c r="A3182" s="12" t="str">
        <f>HYPERLINK("https://parts-sales.ru/parts/MAN/81628700045","81.62870-0045")</f>
        <v>81.62870-0045</v>
      </c>
      <c r="B3182" s="12" t="str">
        <f>HYPERLINK("https://parts-sales.ru/parts/MAN/81628700045","Крышка")</f>
        <v>Крышка</v>
      </c>
      <c r="C3182" s="3" t="s">
        <v>15</v>
      </c>
      <c r="D3182" s="4">
        <v>1158</v>
      </c>
      <c r="E3182" s="4">
        <v>272</v>
      </c>
      <c r="F3182" s="8">
        <v>0.77</v>
      </c>
      <c r="H3182" s="11"/>
      <c r="I3182" s="11"/>
      <c r="J3182" s="11"/>
    </row>
    <row r="3183" spans="1:10" ht="15.75" x14ac:dyDescent="0.3">
      <c r="A3183" s="13" t="str">
        <f>HYPERLINK("https://parts-sales.ru/parts/MAN/81629100243","81.62910-0243")</f>
        <v>81.62910-0243</v>
      </c>
      <c r="B3183" s="13" t="str">
        <f>HYPERLINK("https://parts-sales.ru/parts/MAN/81629100243","Плата")</f>
        <v>Плата</v>
      </c>
      <c r="C3183" s="5" t="s">
        <v>15</v>
      </c>
      <c r="D3183" s="6">
        <v>2529.6</v>
      </c>
      <c r="E3183" s="6">
        <v>520</v>
      </c>
      <c r="F3183" s="9">
        <v>0.79</v>
      </c>
      <c r="H3183" s="11"/>
      <c r="I3183" s="11"/>
      <c r="J3183" s="11"/>
    </row>
    <row r="3184" spans="1:10" ht="15.75" x14ac:dyDescent="0.3">
      <c r="A3184" s="12" t="str">
        <f>HYPERLINK("https://parts-sales.ru/parts/MAN/81629100267","81.62910-0267")</f>
        <v>81.62910-0267</v>
      </c>
      <c r="B3184" s="12" t="str">
        <f>HYPERLINK("https://parts-sales.ru/parts/MAN/81629100267","Кронштейн подшипника F99 L/R49")</f>
        <v>Кронштейн подшипника F99 L/R49</v>
      </c>
      <c r="C3184" s="3" t="s">
        <v>15</v>
      </c>
      <c r="D3184" s="4">
        <v>3766.8</v>
      </c>
      <c r="E3184" s="4">
        <v>914</v>
      </c>
      <c r="F3184" s="8">
        <v>0.76</v>
      </c>
      <c r="H3184" s="11"/>
      <c r="I3184" s="11"/>
      <c r="J3184" s="11"/>
    </row>
    <row r="3185" spans="1:10" ht="15.75" x14ac:dyDescent="0.3">
      <c r="A3185" s="13" t="str">
        <f>HYPERLINK("https://parts-sales.ru/parts/MAN/81629100334","81.62910-0334")</f>
        <v>81.62910-0334</v>
      </c>
      <c r="B3185" s="13" t="str">
        <f>HYPERLINK("https://parts-sales.ru/parts/MAN/81629100334","Водосточный желобок")</f>
        <v>Водосточный желобок</v>
      </c>
      <c r="C3185" s="5" t="s">
        <v>15</v>
      </c>
      <c r="D3185" s="6">
        <v>5504.4</v>
      </c>
      <c r="E3185" s="6">
        <v>1402</v>
      </c>
      <c r="F3185" s="9">
        <v>0.75</v>
      </c>
      <c r="H3185" s="11"/>
      <c r="I3185" s="11"/>
      <c r="J3185" s="11"/>
    </row>
    <row r="3186" spans="1:10" ht="15.75" x14ac:dyDescent="0.3">
      <c r="A3186" s="12" t="str">
        <f>HYPERLINK("https://parts-sales.ru/parts/MAN/81629105331","81.62910-5331")</f>
        <v>81.62910-5331</v>
      </c>
      <c r="B3186" s="12" t="str">
        <f>HYPERLINK("https://parts-sales.ru/parts/MAN/81629105331","Распорка")</f>
        <v>Распорка</v>
      </c>
      <c r="C3186" s="3" t="s">
        <v>15</v>
      </c>
      <c r="D3186" s="4">
        <v>29306.400000000001</v>
      </c>
      <c r="E3186" s="4">
        <v>6881</v>
      </c>
      <c r="F3186" s="8">
        <v>0.77</v>
      </c>
      <c r="H3186" s="11"/>
      <c r="I3186" s="11"/>
      <c r="J3186" s="11"/>
    </row>
    <row r="3187" spans="1:10" ht="15.75" x14ac:dyDescent="0.3">
      <c r="A3187" s="13" t="str">
        <f>HYPERLINK("https://parts-sales.ru/parts/MAN/81629105334","81.62910-5334")</f>
        <v>81.62910-5334</v>
      </c>
      <c r="B3187" s="13" t="str">
        <f>HYPERLINK("https://parts-sales.ru/parts/MAN/81629105334","Держатель справа внизу")</f>
        <v>Держатель справа внизу</v>
      </c>
      <c r="C3187" s="5" t="s">
        <v>15</v>
      </c>
      <c r="D3187" s="6">
        <v>13450.8</v>
      </c>
      <c r="E3187" s="6">
        <v>3577</v>
      </c>
      <c r="F3187" s="9">
        <v>0.73</v>
      </c>
      <c r="H3187" s="11"/>
      <c r="I3187" s="11"/>
      <c r="J3187" s="11"/>
    </row>
    <row r="3188" spans="1:10" ht="15.75" x14ac:dyDescent="0.3">
      <c r="A3188" s="12" t="str">
        <f>HYPERLINK("https://parts-sales.ru/parts/MAN/81629300147","81.62930-0147")</f>
        <v>81.62930-0147</v>
      </c>
      <c r="B3188" s="12" t="str">
        <f>HYPERLINK("https://parts-sales.ru/parts/MAN/81629300147","Кожух")</f>
        <v>Кожух</v>
      </c>
      <c r="C3188" s="3" t="s">
        <v>15</v>
      </c>
      <c r="D3188" s="4">
        <v>1598.4</v>
      </c>
      <c r="E3188" s="4">
        <v>491</v>
      </c>
      <c r="F3188" s="8">
        <v>0.69</v>
      </c>
      <c r="H3188" s="11"/>
      <c r="I3188" s="11"/>
      <c r="J3188" s="11"/>
    </row>
    <row r="3189" spans="1:10" ht="15.75" x14ac:dyDescent="0.3">
      <c r="A3189" s="13" t="str">
        <f>HYPERLINK("https://parts-sales.ru/parts/MAN/81629300161","81.62930-0161")</f>
        <v>81.62930-0161</v>
      </c>
      <c r="B3189" s="13" t="str">
        <f>HYPERLINK("https://parts-sales.ru/parts/MAN/81629300161","Заслонка L/R35/37/47")</f>
        <v>Заслонка L/R35/37/47</v>
      </c>
      <c r="C3189" s="5" t="s">
        <v>15</v>
      </c>
      <c r="D3189" s="6">
        <v>1149.5999999999999</v>
      </c>
      <c r="E3189" s="6">
        <v>282</v>
      </c>
      <c r="F3189" s="9">
        <v>0.75</v>
      </c>
      <c r="H3189" s="11"/>
      <c r="I3189" s="11"/>
      <c r="J3189" s="11"/>
    </row>
    <row r="3190" spans="1:10" ht="15.75" x14ac:dyDescent="0.3">
      <c r="A3190" s="12" t="str">
        <f>HYPERLINK("https://parts-sales.ru/parts/MAN/81629300162","81.62930-0162")</f>
        <v>81.62930-0162</v>
      </c>
      <c r="B3190" s="12" t="str">
        <f>HYPERLINK("https://parts-sales.ru/parts/MAN/81629300162","Заслонка L/R35/37/47")</f>
        <v>Заслонка L/R35/37/47</v>
      </c>
      <c r="C3190" s="3" t="s">
        <v>15</v>
      </c>
      <c r="D3190" s="4">
        <v>1340.4</v>
      </c>
      <c r="E3190" s="4">
        <v>265</v>
      </c>
      <c r="F3190" s="8">
        <v>0.8</v>
      </c>
      <c r="H3190" s="11"/>
      <c r="I3190" s="11"/>
      <c r="J3190" s="11"/>
    </row>
    <row r="3191" spans="1:10" ht="15.75" x14ac:dyDescent="0.3">
      <c r="A3191" s="13" t="str">
        <f>HYPERLINK("https://parts-sales.ru/parts/MAN/81629300169","81.62930-0169")</f>
        <v>81.62930-0169</v>
      </c>
      <c r="B3191" s="13" t="str">
        <f>HYPERLINK("https://parts-sales.ru/parts/MAN/81629300169","Несущая балка слева сзади")</f>
        <v>Несущая балка слева сзади</v>
      </c>
      <c r="C3191" s="5" t="s">
        <v>15</v>
      </c>
      <c r="D3191" s="6">
        <v>2551.1999999999998</v>
      </c>
      <c r="E3191" s="6">
        <v>595</v>
      </c>
      <c r="F3191" s="9">
        <v>0.77</v>
      </c>
      <c r="H3191" s="11"/>
      <c r="I3191" s="11"/>
      <c r="J3191" s="11"/>
    </row>
    <row r="3192" spans="1:10" ht="15.75" x14ac:dyDescent="0.3">
      <c r="A3192" s="12" t="str">
        <f>HYPERLINK("https://parts-sales.ru/parts/MAN/81629300171","81.62930-0171")</f>
        <v>81.62930-0171</v>
      </c>
      <c r="B3192" s="12" t="str">
        <f>HYPERLINK("https://parts-sales.ru/parts/MAN/81629300171","Место хранения")</f>
        <v>Место хранения</v>
      </c>
      <c r="C3192" s="3" t="s">
        <v>15</v>
      </c>
      <c r="D3192" s="4">
        <v>5781.6</v>
      </c>
      <c r="E3192" s="4">
        <v>1149</v>
      </c>
      <c r="F3192" s="8">
        <v>0.8</v>
      </c>
      <c r="H3192" s="11"/>
      <c r="I3192" s="11"/>
      <c r="J3192" s="11"/>
    </row>
    <row r="3193" spans="1:10" ht="15.75" x14ac:dyDescent="0.3">
      <c r="A3193" s="13" t="str">
        <f>HYPERLINK("https://parts-sales.ru/parts/MAN/81629300184","81.62930-0184")</f>
        <v>81.62930-0184</v>
      </c>
      <c r="B3193" s="13" t="str">
        <f>HYPERLINK("https://parts-sales.ru/parts/MAN/81629300184","Заслонка")</f>
        <v>Заслонка</v>
      </c>
      <c r="C3193" s="5" t="s">
        <v>15</v>
      </c>
      <c r="D3193" s="6">
        <v>2893.2</v>
      </c>
      <c r="E3193" s="6">
        <v>627</v>
      </c>
      <c r="F3193" s="9">
        <v>0.78</v>
      </c>
      <c r="H3193" s="11"/>
      <c r="I3193" s="11"/>
      <c r="J3193" s="11"/>
    </row>
    <row r="3194" spans="1:10" ht="15.75" x14ac:dyDescent="0.3">
      <c r="A3194" s="12" t="str">
        <f>HYPERLINK("https://parts-sales.ru/parts/MAN/81629300188","81.62930-0188")</f>
        <v>81.62930-0188</v>
      </c>
      <c r="B3194" s="12" t="str">
        <f>HYPERLINK("https://parts-sales.ru/parts/MAN/81629300188","Заслонка")</f>
        <v>Заслонка</v>
      </c>
      <c r="C3194" s="3" t="s">
        <v>15</v>
      </c>
      <c r="D3194" s="4">
        <v>4292.3999999999996</v>
      </c>
      <c r="E3194" s="4">
        <v>1126</v>
      </c>
      <c r="F3194" s="8">
        <v>0.74</v>
      </c>
      <c r="H3194" s="11"/>
      <c r="I3194" s="11"/>
      <c r="J3194" s="11"/>
    </row>
    <row r="3195" spans="1:10" ht="15.75" x14ac:dyDescent="0.3">
      <c r="A3195" s="13" t="str">
        <f>HYPERLINK("https://parts-sales.ru/parts/MAN/81629300199","81.62930-0199")</f>
        <v>81.62930-0199</v>
      </c>
      <c r="B3195" s="13" t="str">
        <f>HYPERLINK("https://parts-sales.ru/parts/MAN/81629300199","Держатель")</f>
        <v>Держатель</v>
      </c>
      <c r="C3195" s="5" t="s">
        <v>15</v>
      </c>
      <c r="D3195" s="6">
        <v>1134</v>
      </c>
      <c r="E3195" s="6">
        <v>122</v>
      </c>
      <c r="F3195" s="9">
        <v>0.89</v>
      </c>
      <c r="H3195" s="11"/>
      <c r="I3195" s="11"/>
      <c r="J3195" s="11"/>
    </row>
    <row r="3196" spans="1:10" ht="15.75" x14ac:dyDescent="0.3">
      <c r="A3196" s="12" t="str">
        <f>HYPERLINK("https://parts-sales.ru/parts/MAN/81629300247","81.62930-0247")</f>
        <v>81.62930-0247</v>
      </c>
      <c r="B3196" s="12" t="str">
        <f>HYPERLINK("https://parts-sales.ru/parts/MAN/81629300247","Свод крыши F99 L/R10,12")</f>
        <v>Свод крыши F99 L/R10,12</v>
      </c>
      <c r="C3196" s="3" t="s">
        <v>15</v>
      </c>
      <c r="D3196" s="4">
        <v>93518.399999999994</v>
      </c>
      <c r="E3196" s="4">
        <v>18941</v>
      </c>
      <c r="F3196" s="8">
        <v>0.8</v>
      </c>
      <c r="H3196" s="11"/>
      <c r="I3196" s="11"/>
      <c r="J3196" s="11"/>
    </row>
    <row r="3197" spans="1:10" ht="15.75" x14ac:dyDescent="0.3">
      <c r="A3197" s="13" t="str">
        <f>HYPERLINK("https://parts-sales.ru/parts/MAN/81629300264","81.62930-0264")</f>
        <v>81.62930-0264</v>
      </c>
      <c r="B3197" s="13" t="str">
        <f>HYPERLINK("https://parts-sales.ru/parts/MAN/81629300264","Заслонка")</f>
        <v>Заслонка</v>
      </c>
      <c r="C3197" s="5" t="s">
        <v>15</v>
      </c>
      <c r="D3197" s="6">
        <v>5328</v>
      </c>
      <c r="E3197" s="6">
        <v>1211</v>
      </c>
      <c r="F3197" s="9">
        <v>0.77</v>
      </c>
      <c r="H3197" s="11"/>
      <c r="I3197" s="11"/>
      <c r="J3197" s="11"/>
    </row>
    <row r="3198" spans="1:10" ht="15.75" x14ac:dyDescent="0.3">
      <c r="A3198" s="12" t="str">
        <f>HYPERLINK("https://parts-sales.ru/parts/MAN/81629300291","81.62930-0291")</f>
        <v>81.62930-0291</v>
      </c>
      <c r="B3198" s="12" t="str">
        <f>HYPERLINK("https://parts-sales.ru/parts/MAN/81629300291","Заслонка F99L/R37")</f>
        <v>Заслонка F99L/R37</v>
      </c>
      <c r="C3198" s="3" t="s">
        <v>15</v>
      </c>
      <c r="D3198" s="4">
        <v>3457.2</v>
      </c>
      <c r="E3198" s="4">
        <v>895</v>
      </c>
      <c r="F3198" s="8">
        <v>0.74</v>
      </c>
      <c r="H3198" s="11"/>
      <c r="I3198" s="11"/>
      <c r="J3198" s="11"/>
    </row>
    <row r="3199" spans="1:10" ht="15.75" x14ac:dyDescent="0.3">
      <c r="A3199" s="13" t="str">
        <f>HYPERLINK("https://parts-sales.ru/parts/MAN/81629300373","81.62930-0373")</f>
        <v>81.62930-0373</v>
      </c>
      <c r="B3199" s="13" t="str">
        <f>HYPERLINK("https://parts-sales.ru/parts/MAN/81629300373","Заслонка Круговая занавеска")</f>
        <v>Заслонка Круговая занавеска</v>
      </c>
      <c r="C3199" s="5" t="s">
        <v>15</v>
      </c>
      <c r="D3199" s="6">
        <v>5767.2</v>
      </c>
      <c r="E3199" s="6">
        <v>1274</v>
      </c>
      <c r="F3199" s="9">
        <v>0.78</v>
      </c>
      <c r="H3199" s="11"/>
      <c r="I3199" s="11"/>
      <c r="J3199" s="11"/>
    </row>
    <row r="3200" spans="1:10" ht="15.75" x14ac:dyDescent="0.3">
      <c r="A3200" s="12" t="str">
        <f>HYPERLINK("https://parts-sales.ru/parts/MAN/81629300469","81.62930-0469")</f>
        <v>81.62930-0469</v>
      </c>
      <c r="B3200" s="12" t="str">
        <f>HYPERLINK("https://parts-sales.ru/parts/MAN/81629300469","Свод крыши")</f>
        <v>Свод крыши</v>
      </c>
      <c r="C3200" s="3" t="s">
        <v>15</v>
      </c>
      <c r="D3200" s="4">
        <v>156550.79999999999</v>
      </c>
      <c r="E3200" s="4">
        <v>31167</v>
      </c>
      <c r="F3200" s="8">
        <v>0.8</v>
      </c>
      <c r="H3200" s="11"/>
      <c r="I3200" s="11"/>
      <c r="J3200" s="11"/>
    </row>
    <row r="3201" spans="1:10" ht="15.75" x14ac:dyDescent="0.3">
      <c r="A3201" s="13" t="str">
        <f>HYPERLINK("https://parts-sales.ru/parts/MAN/81629300587","81.62930-0587")</f>
        <v>81.62930-0587</v>
      </c>
      <c r="B3201" s="13" t="str">
        <f>HYPERLINK("https://parts-sales.ru/parts/MAN/81629300587","Заслонка")</f>
        <v>Заслонка</v>
      </c>
      <c r="C3201" s="5" t="s">
        <v>15</v>
      </c>
      <c r="D3201" s="6">
        <v>3698.4</v>
      </c>
      <c r="E3201" s="6">
        <v>872</v>
      </c>
      <c r="F3201" s="9">
        <v>0.76</v>
      </c>
      <c r="H3201" s="11"/>
      <c r="I3201" s="11"/>
      <c r="J3201" s="11"/>
    </row>
    <row r="3202" spans="1:10" ht="15.75" x14ac:dyDescent="0.3">
      <c r="A3202" s="12" t="str">
        <f>HYPERLINK("https://parts-sales.ru/parts/MAN/81629305169","81.62930-5169")</f>
        <v>81.62930-5169</v>
      </c>
      <c r="B3202" s="12" t="str">
        <f>HYPERLINK("https://parts-sales.ru/parts/MAN/81629305169","Заслонка")</f>
        <v>Заслонка</v>
      </c>
      <c r="C3202" s="3" t="s">
        <v>15</v>
      </c>
      <c r="D3202" s="4">
        <v>7658.4</v>
      </c>
      <c r="E3202" s="4">
        <v>2198</v>
      </c>
      <c r="F3202" s="8">
        <v>0.71</v>
      </c>
      <c r="H3202" s="11"/>
      <c r="I3202" s="11"/>
      <c r="J3202" s="11"/>
    </row>
    <row r="3203" spans="1:10" ht="15.75" x14ac:dyDescent="0.3">
      <c r="A3203" s="13" t="str">
        <f>HYPERLINK("https://parts-sales.ru/parts/MAN/81629305170","81.62930-5170")</f>
        <v>81.62930-5170</v>
      </c>
      <c r="B3203" s="13" t="str">
        <f>HYPERLINK("https://parts-sales.ru/parts/MAN/81629305170","Заслонка")</f>
        <v>Заслонка</v>
      </c>
      <c r="C3203" s="5" t="s">
        <v>15</v>
      </c>
      <c r="D3203" s="6">
        <v>7658.4</v>
      </c>
      <c r="E3203" s="6">
        <v>1954</v>
      </c>
      <c r="F3203" s="9">
        <v>0.74</v>
      </c>
      <c r="H3203" s="11"/>
      <c r="I3203" s="11"/>
      <c r="J3203" s="11"/>
    </row>
    <row r="3204" spans="1:10" ht="15.75" x14ac:dyDescent="0.3">
      <c r="A3204" s="12" t="str">
        <f>HYPERLINK("https://parts-sales.ru/parts/MAN/81629410113","81.62941-0113")</f>
        <v>81.62941-0113</v>
      </c>
      <c r="B3204" s="12" t="str">
        <f>HYPERLINK("https://parts-sales.ru/parts/MAN/81629410113","Декоративная крышка lion beige")</f>
        <v>Декоративная крышка lion beige</v>
      </c>
      <c r="C3204" s="3" t="s">
        <v>15</v>
      </c>
      <c r="D3204" s="4">
        <v>656.4</v>
      </c>
      <c r="E3204" s="4">
        <v>145</v>
      </c>
      <c r="F3204" s="8">
        <v>0.78</v>
      </c>
      <c r="H3204" s="11"/>
      <c r="I3204" s="11"/>
      <c r="J3204" s="11"/>
    </row>
    <row r="3205" spans="1:10" ht="15.75" x14ac:dyDescent="0.3">
      <c r="A3205" s="13" t="str">
        <f>HYPERLINK("https://parts-sales.ru/parts/MAN/81629410118","81.62941-0118")</f>
        <v>81.62941-0118</v>
      </c>
      <c r="B3205" s="13" t="str">
        <f>HYPERLINK("https://parts-sales.ru/parts/MAN/81629410118","Кожух")</f>
        <v>Кожух</v>
      </c>
      <c r="C3205" s="5" t="s">
        <v>15</v>
      </c>
      <c r="D3205" s="6">
        <v>2199.6</v>
      </c>
      <c r="E3205" s="6">
        <v>515</v>
      </c>
      <c r="F3205" s="9">
        <v>0.77</v>
      </c>
      <c r="H3205" s="11"/>
      <c r="I3205" s="11"/>
      <c r="J3205" s="11"/>
    </row>
    <row r="3206" spans="1:10" ht="15.75" x14ac:dyDescent="0.3">
      <c r="A3206" s="12" t="str">
        <f>HYPERLINK("https://parts-sales.ru/parts/MAN/81629410123","81.62941-0123")</f>
        <v>81.62941-0123</v>
      </c>
      <c r="B3206" s="12" t="str">
        <f>HYPERLINK("https://parts-sales.ru/parts/MAN/81629410123","Кожух")</f>
        <v>Кожух</v>
      </c>
      <c r="C3206" s="3" t="s">
        <v>15</v>
      </c>
      <c r="D3206" s="4">
        <v>435.6</v>
      </c>
      <c r="E3206" s="4">
        <v>84</v>
      </c>
      <c r="F3206" s="8">
        <v>0.81</v>
      </c>
      <c r="H3206" s="11"/>
      <c r="I3206" s="11"/>
      <c r="J3206" s="11"/>
    </row>
    <row r="3207" spans="1:10" ht="15.75" x14ac:dyDescent="0.3">
      <c r="A3207" s="13" t="str">
        <f>HYPERLINK("https://parts-sales.ru/parts/MAN/81629800007","81.62980-0007")</f>
        <v>81.62980-0007</v>
      </c>
      <c r="B3207" s="13" t="str">
        <f>HYPERLINK("https://parts-sales.ru/parts/MAN/81629800007","Распорка F99 L/R37-49")</f>
        <v>Распорка F99 L/R37-49</v>
      </c>
      <c r="C3207" s="5" t="s">
        <v>15</v>
      </c>
      <c r="D3207" s="6">
        <v>543.6</v>
      </c>
      <c r="E3207" s="6">
        <v>129</v>
      </c>
      <c r="F3207" s="9">
        <v>0.76</v>
      </c>
      <c r="H3207" s="11"/>
      <c r="I3207" s="11"/>
      <c r="J3207" s="11"/>
    </row>
    <row r="3208" spans="1:10" ht="15.75" x14ac:dyDescent="0.3">
      <c r="A3208" s="12" t="str">
        <f>HYPERLINK("https://parts-sales.ru/parts/MAN/81637010012","81.63701-0012")</f>
        <v>81.63701-0012</v>
      </c>
      <c r="B3208" s="12" t="str">
        <f>HYPERLINK("https://parts-sales.ru/parts/MAN/81637010012","Манжета")</f>
        <v>Манжета</v>
      </c>
      <c r="C3208" s="3" t="s">
        <v>15</v>
      </c>
      <c r="D3208" s="4">
        <v>4090.8</v>
      </c>
      <c r="E3208" s="4">
        <v>1512</v>
      </c>
      <c r="F3208" s="8">
        <v>0.63</v>
      </c>
      <c r="H3208" s="11"/>
      <c r="I3208" s="11"/>
      <c r="J3208" s="11"/>
    </row>
    <row r="3209" spans="1:10" ht="15.75" x14ac:dyDescent="0.3">
      <c r="A3209" s="13" t="str">
        <f>HYPERLINK("https://parts-sales.ru/parts/MAN/81637010029","81.63701-0029")</f>
        <v>81.63701-0029</v>
      </c>
      <c r="B3209" s="13" t="str">
        <f>HYPERLINK("https://parts-sales.ru/parts/MAN/81637010029","Прикрывающая розетка")</f>
        <v>Прикрывающая розетка</v>
      </c>
      <c r="C3209" s="5" t="s">
        <v>15</v>
      </c>
      <c r="D3209" s="6">
        <v>1426.8</v>
      </c>
      <c r="E3209" s="6">
        <v>419</v>
      </c>
      <c r="F3209" s="9">
        <v>0.71</v>
      </c>
      <c r="H3209" s="11"/>
      <c r="I3209" s="11"/>
      <c r="J3209" s="11"/>
    </row>
    <row r="3210" spans="1:10" ht="15.75" x14ac:dyDescent="0.3">
      <c r="A3210" s="12" t="str">
        <f>HYPERLINK("https://parts-sales.ru/parts/MAN/81637010034","81.63701-0034")</f>
        <v>81.63701-0034</v>
      </c>
      <c r="B3210" s="12" t="str">
        <f>HYPERLINK("https://parts-sales.ru/parts/MAN/81637010034","Колпачок 6X15/29X21-M3165-E1-SW")</f>
        <v>Колпачок 6X15/29X21-M3165-E1-SW</v>
      </c>
      <c r="C3210" s="3" t="s">
        <v>15</v>
      </c>
      <c r="D3210" s="4">
        <v>52.8</v>
      </c>
      <c r="E3210" s="4">
        <v>8</v>
      </c>
      <c r="F3210" s="8">
        <v>0.85</v>
      </c>
      <c r="H3210" s="11"/>
      <c r="I3210" s="11"/>
      <c r="J3210" s="11"/>
    </row>
    <row r="3211" spans="1:10" ht="15.75" x14ac:dyDescent="0.3">
      <c r="A3211" s="13" t="str">
        <f>HYPERLINK("https://parts-sales.ru/parts/MAN/81637010040","81.63701-0040")</f>
        <v>81.63701-0040</v>
      </c>
      <c r="B3211" s="13" t="str">
        <f>HYPERLINK("https://parts-sales.ru/parts/MAN/81637010040","Колпачок")</f>
        <v>Колпачок</v>
      </c>
      <c r="C3211" s="5" t="s">
        <v>15</v>
      </c>
      <c r="D3211" s="6">
        <v>139.19999999999999</v>
      </c>
      <c r="E3211" s="6">
        <v>38</v>
      </c>
      <c r="F3211" s="9">
        <v>0.73</v>
      </c>
      <c r="H3211" s="11"/>
      <c r="I3211" s="11"/>
      <c r="J3211" s="11"/>
    </row>
    <row r="3212" spans="1:10" ht="15.75" x14ac:dyDescent="0.3">
      <c r="A3212" s="12" t="str">
        <f>HYPERLINK("https://parts-sales.ru/parts/MAN/81637010065","81.63701-0065")</f>
        <v>81.63701-0065</v>
      </c>
      <c r="B3212" s="12" t="str">
        <f>HYPERLINK("https://parts-sales.ru/parts/MAN/81637010065","Солнцезащитный козырек")</f>
        <v>Солнцезащитный козырек</v>
      </c>
      <c r="C3212" s="3" t="s">
        <v>15</v>
      </c>
      <c r="D3212" s="4">
        <v>45636.31</v>
      </c>
      <c r="E3212" s="4">
        <v>29870</v>
      </c>
      <c r="F3212" s="8">
        <v>0.35</v>
      </c>
      <c r="H3212" s="11"/>
      <c r="I3212" s="11"/>
      <c r="J3212" s="11"/>
    </row>
    <row r="3213" spans="1:10" ht="15.75" x14ac:dyDescent="0.3">
      <c r="A3213" s="13" t="str">
        <f>HYPERLINK("https://parts-sales.ru/parts/MAN/81637015006","81.63701-5006")</f>
        <v>81.63701-5006</v>
      </c>
      <c r="B3213" s="13" t="str">
        <f>HYPERLINK("https://parts-sales.ru/parts/MAN/81637015006","Кожух")</f>
        <v>Кожух</v>
      </c>
      <c r="C3213" s="5" t="s">
        <v>15</v>
      </c>
      <c r="D3213" s="6">
        <v>3645.6</v>
      </c>
      <c r="E3213" s="6">
        <v>1758</v>
      </c>
      <c r="F3213" s="9">
        <v>0.52</v>
      </c>
      <c r="H3213" s="11"/>
      <c r="I3213" s="11"/>
      <c r="J3213" s="11"/>
    </row>
    <row r="3214" spans="1:10" ht="15.75" x14ac:dyDescent="0.3">
      <c r="A3214" s="12" t="str">
        <f>HYPERLINK("https://parts-sales.ru/parts/MAN/81637016046","81.63701-6046")</f>
        <v>81.63701-6046</v>
      </c>
      <c r="B3214" s="12" t="str">
        <f>HYPERLINK("https://parts-sales.ru/parts/MAN/81637016046","Солнцезащитный козырек F99 L/R 10-12")</f>
        <v>Солнцезащитный козырек F99 L/R 10-12</v>
      </c>
      <c r="C3214" s="3" t="s">
        <v>15</v>
      </c>
      <c r="D3214" s="4">
        <v>14793.6</v>
      </c>
      <c r="E3214" s="4">
        <v>1709</v>
      </c>
      <c r="F3214" s="8">
        <v>0.88</v>
      </c>
      <c r="H3214" s="11"/>
      <c r="I3214" s="11"/>
      <c r="J3214" s="11"/>
    </row>
    <row r="3215" spans="1:10" ht="15.75" x14ac:dyDescent="0.3">
      <c r="A3215" s="13" t="str">
        <f>HYPERLINK("https://parts-sales.ru/parts/MAN/81637030060","81.63703-0060")</f>
        <v>81.63703-0060</v>
      </c>
      <c r="B3215" s="13" t="str">
        <f>HYPERLINK("https://parts-sales.ru/parts/MAN/81637030060","Рукоятка Пластмасса")</f>
        <v>Рукоятка Пластмасса</v>
      </c>
      <c r="C3215" s="5" t="s">
        <v>15</v>
      </c>
      <c r="D3215" s="6">
        <v>1946.4</v>
      </c>
      <c r="E3215" s="6">
        <v>405</v>
      </c>
      <c r="F3215" s="9">
        <v>0.79</v>
      </c>
      <c r="H3215" s="11"/>
      <c r="I3215" s="11"/>
      <c r="J3215" s="11"/>
    </row>
    <row r="3216" spans="1:10" ht="15.75" x14ac:dyDescent="0.3">
      <c r="A3216" s="12" t="str">
        <f>HYPERLINK("https://parts-sales.ru/parts/MAN/81637150042","81.63715-0042")</f>
        <v>81.63715-0042</v>
      </c>
      <c r="B3216" s="12" t="str">
        <f>HYPERLINK("https://parts-sales.ru/parts/MAN/81637150042","Подкладка")</f>
        <v>Подкладка</v>
      </c>
      <c r="C3216" s="3" t="s">
        <v>15</v>
      </c>
      <c r="D3216" s="4">
        <v>3283.2</v>
      </c>
      <c r="E3216" s="4">
        <v>672</v>
      </c>
      <c r="F3216" s="8">
        <v>0.8</v>
      </c>
      <c r="H3216" s="11"/>
      <c r="I3216" s="11"/>
      <c r="J3216" s="11"/>
    </row>
    <row r="3217" spans="1:10" ht="15.75" x14ac:dyDescent="0.3">
      <c r="A3217" s="13" t="str">
        <f>HYPERLINK("https://parts-sales.ru/parts/MAN/81637306483","81.63730-6483")</f>
        <v>81.63730-6483</v>
      </c>
      <c r="B3217" s="13" t="str">
        <f>HYPERLINK("https://parts-sales.ru/parts/MAN/81637306483","Внешнее зеркало отапливаемо и переставля")</f>
        <v>Внешнее зеркало отапливаемо и переставля</v>
      </c>
      <c r="C3217" s="5" t="s">
        <v>15</v>
      </c>
      <c r="D3217" s="6">
        <v>17518.419999999998</v>
      </c>
      <c r="E3217" s="6">
        <v>8027</v>
      </c>
      <c r="F3217" s="9">
        <v>0.54</v>
      </c>
      <c r="H3217" s="11"/>
      <c r="I3217" s="11"/>
      <c r="J3217" s="11"/>
    </row>
    <row r="3218" spans="1:10" ht="15.75" x14ac:dyDescent="0.3">
      <c r="A3218" s="12" t="str">
        <f>HYPERLINK("https://parts-sales.ru/parts/MAN/81637306512","81.63730-6512")</f>
        <v>81.63730-6512</v>
      </c>
      <c r="B3218" s="12" t="str">
        <f>HYPERLINK("https://parts-sales.ru/parts/MAN/81637306512","Широкоугольное зеркало WR300")</f>
        <v>Широкоугольное зеркало WR300</v>
      </c>
      <c r="C3218" s="3" t="s">
        <v>15</v>
      </c>
      <c r="D3218" s="4">
        <v>48696</v>
      </c>
      <c r="E3218" s="4">
        <v>9975</v>
      </c>
      <c r="F3218" s="8">
        <v>0.8</v>
      </c>
      <c r="H3218" s="11"/>
      <c r="I3218" s="11"/>
      <c r="J3218" s="11"/>
    </row>
    <row r="3219" spans="1:10" ht="15.75" x14ac:dyDescent="0.3">
      <c r="A3219" s="13" t="str">
        <f>HYPERLINK("https://parts-sales.ru/parts/MAN/81637306513","81.63730-6513")</f>
        <v>81.63730-6513</v>
      </c>
      <c r="B3219" s="13" t="str">
        <f>HYPERLINK("https://parts-sales.ru/parts/MAN/81637306513","Широкоугольное зеркало WR300")</f>
        <v>Широкоугольное зеркало WR300</v>
      </c>
      <c r="C3219" s="5" t="s">
        <v>15</v>
      </c>
      <c r="D3219" s="6">
        <v>48696</v>
      </c>
      <c r="E3219" s="6">
        <v>8155</v>
      </c>
      <c r="F3219" s="9">
        <v>0.83</v>
      </c>
      <c r="H3219" s="11"/>
      <c r="I3219" s="11"/>
      <c r="J3219" s="11"/>
    </row>
    <row r="3220" spans="1:10" ht="15.75" x14ac:dyDescent="0.3">
      <c r="A3220" s="12" t="str">
        <f>HYPERLINK("https://parts-sales.ru/parts/MAN/81637306733","81.63730-6733")</f>
        <v>81.63730-6733</v>
      </c>
      <c r="B3220" s="12" t="str">
        <f>HYPERLINK("https://parts-sales.ru/parts/MAN/81637306733","Зеркало вида бордюра WR300")</f>
        <v>Зеркало вида бордюра WR300</v>
      </c>
      <c r="C3220" s="3" t="s">
        <v>15</v>
      </c>
      <c r="D3220" s="4">
        <v>25098</v>
      </c>
      <c r="E3220" s="4">
        <v>4045</v>
      </c>
      <c r="F3220" s="8">
        <v>0.84</v>
      </c>
      <c r="H3220" s="11"/>
      <c r="I3220" s="11"/>
      <c r="J3220" s="11"/>
    </row>
    <row r="3221" spans="1:10" ht="15.75" x14ac:dyDescent="0.3">
      <c r="A3221" s="13" t="str">
        <f>HYPERLINK("https://parts-sales.ru/parts/MAN/81637306865","81.63730-6865")</f>
        <v>81.63730-6865</v>
      </c>
      <c r="B3221" s="13" t="str">
        <f>HYPERLINK("https://parts-sales.ru/parts/MAN/81637306865","Внешнее зеркало электрически")</f>
        <v>Внешнее зеркало электрически</v>
      </c>
      <c r="C3221" s="5" t="s">
        <v>15</v>
      </c>
      <c r="D3221" s="6">
        <v>95944.8</v>
      </c>
      <c r="E3221" s="6">
        <v>43066</v>
      </c>
      <c r="F3221" s="9">
        <v>0.55000000000000004</v>
      </c>
      <c r="H3221" s="11"/>
      <c r="I3221" s="11"/>
      <c r="J3221" s="11"/>
    </row>
    <row r="3222" spans="1:10" ht="15.75" x14ac:dyDescent="0.3">
      <c r="A3222" s="12" t="str">
        <f>HYPERLINK("https://parts-sales.ru/parts/MAN/81637310199","81.63731-0199")</f>
        <v>81.63731-0199</v>
      </c>
      <c r="B3222" s="12" t="str">
        <f>HYPERLINK("https://parts-sales.ru/parts/MAN/81637310199","Держатель зеркала")</f>
        <v>Держатель зеркала</v>
      </c>
      <c r="C3222" s="3" t="s">
        <v>15</v>
      </c>
      <c r="D3222" s="4">
        <v>3936</v>
      </c>
      <c r="E3222" s="4">
        <v>866</v>
      </c>
      <c r="F3222" s="8">
        <v>0.78</v>
      </c>
      <c r="H3222" s="11"/>
      <c r="I3222" s="11"/>
      <c r="J3222" s="11"/>
    </row>
    <row r="3223" spans="1:10" ht="15.75" x14ac:dyDescent="0.3">
      <c r="A3223" s="13" t="str">
        <f>HYPERLINK("https://parts-sales.ru/parts/MAN/81637310259","81.63731-0259")</f>
        <v>81.63731-0259</v>
      </c>
      <c r="B3223" s="13" t="str">
        <f>HYPERLINK("https://parts-sales.ru/parts/MAN/81637310259","Подкладка слева")</f>
        <v>Подкладка слева</v>
      </c>
      <c r="C3223" s="5" t="s">
        <v>15</v>
      </c>
      <c r="D3223" s="6">
        <v>951.6</v>
      </c>
      <c r="E3223" s="6">
        <v>245</v>
      </c>
      <c r="F3223" s="9">
        <v>0.74</v>
      </c>
      <c r="H3223" s="11"/>
      <c r="I3223" s="11"/>
      <c r="J3223" s="11"/>
    </row>
    <row r="3224" spans="1:10" ht="15.75" x14ac:dyDescent="0.3">
      <c r="A3224" s="12" t="str">
        <f>HYPERLINK("https://parts-sales.ru/parts/MAN/81637310261","81.63731-0261")</f>
        <v>81.63731-0261</v>
      </c>
      <c r="B3224" s="12" t="str">
        <f>HYPERLINK("https://parts-sales.ru/parts/MAN/81637310261","Кожух")</f>
        <v>Кожух</v>
      </c>
      <c r="C3224" s="3" t="s">
        <v>15</v>
      </c>
      <c r="D3224" s="4">
        <v>2224.8000000000002</v>
      </c>
      <c r="E3224" s="4">
        <v>444</v>
      </c>
      <c r="F3224" s="8">
        <v>0.8</v>
      </c>
      <c r="H3224" s="11"/>
      <c r="I3224" s="11"/>
      <c r="J3224" s="11"/>
    </row>
    <row r="3225" spans="1:10" ht="15.75" x14ac:dyDescent="0.3">
      <c r="A3225" s="13" t="str">
        <f>HYPERLINK("https://parts-sales.ru/parts/MAN/81637310366","81.63731-0366")</f>
        <v>81.63731-0366</v>
      </c>
      <c r="B3225" s="13" t="str">
        <f>HYPERLINK("https://parts-sales.ru/parts/MAN/81637310366","Зажимная скоба")</f>
        <v>Зажимная скоба</v>
      </c>
      <c r="C3225" s="5" t="s">
        <v>15</v>
      </c>
      <c r="D3225" s="6">
        <v>771.6</v>
      </c>
      <c r="E3225" s="6">
        <v>122</v>
      </c>
      <c r="F3225" s="9">
        <v>0.84</v>
      </c>
      <c r="H3225" s="11"/>
      <c r="I3225" s="11"/>
      <c r="J3225" s="11"/>
    </row>
    <row r="3226" spans="1:10" ht="15.75" x14ac:dyDescent="0.3">
      <c r="A3226" s="12" t="str">
        <f>HYPERLINK("https://parts-sales.ru/parts/MAN/81637316620","81.63731-6620")</f>
        <v>81.63731-6620</v>
      </c>
      <c r="B3226" s="12" t="str">
        <f>HYPERLINK("https://parts-sales.ru/parts/MAN/81637316620","Рем компл зеркал TG-1")</f>
        <v>Рем компл зеркал TG-1</v>
      </c>
      <c r="C3226" s="3" t="s">
        <v>15</v>
      </c>
      <c r="D3226" s="4">
        <v>7882.8</v>
      </c>
      <c r="E3226" s="4">
        <v>3560</v>
      </c>
      <c r="F3226" s="8">
        <v>0.55000000000000004</v>
      </c>
      <c r="H3226" s="11"/>
      <c r="I3226" s="11"/>
      <c r="J3226" s="11"/>
    </row>
    <row r="3227" spans="1:10" ht="15.75" x14ac:dyDescent="0.3">
      <c r="A3227" s="13" t="str">
        <f>HYPERLINK("https://parts-sales.ru/parts/MAN/81637320059","81.63732-0059")</f>
        <v>81.63732-0059</v>
      </c>
      <c r="B3227" s="13" t="str">
        <f>HYPERLINK("https://parts-sales.ru/parts/MAN/81637320059","Крышка зеркала")</f>
        <v>Крышка зеркала</v>
      </c>
      <c r="C3227" s="5" t="s">
        <v>15</v>
      </c>
      <c r="D3227" s="6">
        <v>7980</v>
      </c>
      <c r="E3227" s="6">
        <v>1514</v>
      </c>
      <c r="F3227" s="9">
        <v>0.81</v>
      </c>
      <c r="H3227" s="11"/>
      <c r="I3227" s="11"/>
      <c r="J3227" s="11"/>
    </row>
    <row r="3228" spans="1:10" ht="15.75" x14ac:dyDescent="0.3">
      <c r="A3228" s="12" t="str">
        <f>HYPERLINK("https://parts-sales.ru/parts/MAN/81637320061","81.63732-0061")</f>
        <v>81.63732-0061</v>
      </c>
      <c r="B3228" s="12" t="str">
        <f>HYPERLINK("https://parts-sales.ru/parts/MAN/81637320061","Крышка зеркала")</f>
        <v>Крышка зеркала</v>
      </c>
      <c r="C3228" s="3" t="s">
        <v>15</v>
      </c>
      <c r="D3228" s="4">
        <v>6650.4</v>
      </c>
      <c r="E3228" s="4">
        <v>1585</v>
      </c>
      <c r="F3228" s="8">
        <v>0.76</v>
      </c>
      <c r="H3228" s="11"/>
      <c r="I3228" s="11"/>
      <c r="J3228" s="11"/>
    </row>
    <row r="3229" spans="1:10" ht="15.75" x14ac:dyDescent="0.3">
      <c r="A3229" s="13" t="str">
        <f>HYPERLINK("https://parts-sales.ru/parts/MAN/81637320062","81.63732-0062")</f>
        <v>81.63732-0062</v>
      </c>
      <c r="B3229" s="13" t="str">
        <f>HYPERLINK("https://parts-sales.ru/parts/MAN/81637320062","Крышка зеркала серый")</f>
        <v>Крышка зеркала серый</v>
      </c>
      <c r="C3229" s="5" t="s">
        <v>15</v>
      </c>
      <c r="D3229" s="6">
        <v>7940.4</v>
      </c>
      <c r="E3229" s="6">
        <v>1439</v>
      </c>
      <c r="F3229" s="9">
        <v>0.82</v>
      </c>
      <c r="H3229" s="11"/>
      <c r="I3229" s="11"/>
      <c r="J3229" s="11"/>
    </row>
    <row r="3230" spans="1:10" ht="15.75" x14ac:dyDescent="0.3">
      <c r="A3230" s="12" t="str">
        <f>HYPERLINK("https://parts-sales.ru/parts/MAN/81637320073","81.63732-0073")</f>
        <v>81.63732-0073</v>
      </c>
      <c r="B3230" s="12" t="str">
        <f>HYPERLINK("https://parts-sales.ru/parts/MAN/81637320073","Крышка зеркала")</f>
        <v>Крышка зеркала</v>
      </c>
      <c r="C3230" s="3" t="s">
        <v>15</v>
      </c>
      <c r="D3230" s="4">
        <v>3164.4</v>
      </c>
      <c r="E3230" s="4">
        <v>1457</v>
      </c>
      <c r="F3230" s="8">
        <v>0.54</v>
      </c>
      <c r="H3230" s="11"/>
      <c r="I3230" s="11"/>
      <c r="J3230" s="11"/>
    </row>
    <row r="3231" spans="1:10" ht="15.75" x14ac:dyDescent="0.3">
      <c r="A3231" s="13" t="str">
        <f>HYPERLINK("https://parts-sales.ru/parts/MAN/81637320074","81.63732-0074")</f>
        <v>81.63732-0074</v>
      </c>
      <c r="B3231" s="13" t="str">
        <f>HYPERLINK("https://parts-sales.ru/parts/MAN/81637320074","Крышка зеркала")</f>
        <v>Крышка зеркала</v>
      </c>
      <c r="C3231" s="5" t="s">
        <v>15</v>
      </c>
      <c r="D3231" s="6">
        <v>3138</v>
      </c>
      <c r="E3231" s="6">
        <v>986</v>
      </c>
      <c r="F3231" s="9">
        <v>0.69</v>
      </c>
      <c r="H3231" s="11"/>
      <c r="I3231" s="11"/>
      <c r="J3231" s="11"/>
    </row>
    <row r="3232" spans="1:10" ht="15.75" x14ac:dyDescent="0.3">
      <c r="A3232" s="12" t="str">
        <f>HYPERLINK("https://parts-sales.ru/parts/MAN/81637320091","81.63732-0091")</f>
        <v>81.63732-0091</v>
      </c>
      <c r="B3232" s="12" t="str">
        <f>HYPERLINK("https://parts-sales.ru/parts/MAN/81637320091","Корпус зеркала")</f>
        <v>Корпус зеркала</v>
      </c>
      <c r="C3232" s="3" t="s">
        <v>15</v>
      </c>
      <c r="D3232" s="4">
        <v>12866.4</v>
      </c>
      <c r="E3232" s="4">
        <v>7555</v>
      </c>
      <c r="F3232" s="8">
        <v>0.41</v>
      </c>
      <c r="H3232" s="11"/>
      <c r="I3232" s="11"/>
      <c r="J3232" s="11"/>
    </row>
    <row r="3233" spans="1:10" ht="15.75" x14ac:dyDescent="0.3">
      <c r="A3233" s="13" t="str">
        <f>HYPERLINK("https://parts-sales.ru/parts/MAN/81637320093","81.63732-0093")</f>
        <v>81.63732-0093</v>
      </c>
      <c r="B3233" s="13" t="str">
        <f>HYPERLINK("https://parts-sales.ru/parts/MAN/81637320093","Крышка")</f>
        <v>Крышка</v>
      </c>
      <c r="C3233" s="5" t="s">
        <v>15</v>
      </c>
      <c r="D3233" s="6">
        <v>1518</v>
      </c>
      <c r="E3233" s="6">
        <v>292</v>
      </c>
      <c r="F3233" s="9">
        <v>0.81</v>
      </c>
      <c r="H3233" s="11"/>
      <c r="I3233" s="11"/>
      <c r="J3233" s="11"/>
    </row>
    <row r="3234" spans="1:10" ht="15.75" x14ac:dyDescent="0.3">
      <c r="A3234" s="12" t="str">
        <f>HYPERLINK("https://parts-sales.ru/parts/MAN/81637320117","81.63732-0117")</f>
        <v>81.63732-0117</v>
      </c>
      <c r="B3234" s="12" t="str">
        <f>HYPERLINK("https://parts-sales.ru/parts/MAN/81637320117","Крышка зеркала Консоль")</f>
        <v>Крышка зеркала Консоль</v>
      </c>
      <c r="C3234" s="3" t="s">
        <v>15</v>
      </c>
      <c r="D3234" s="4">
        <v>2611.1999999999998</v>
      </c>
      <c r="E3234" s="4">
        <v>542</v>
      </c>
      <c r="F3234" s="8">
        <v>0.79</v>
      </c>
      <c r="H3234" s="11"/>
      <c r="I3234" s="11"/>
      <c r="J3234" s="11"/>
    </row>
    <row r="3235" spans="1:10" ht="15.75" x14ac:dyDescent="0.3">
      <c r="A3235" s="13" t="str">
        <f>HYPERLINK("https://parts-sales.ru/parts/MAN/81637336029","81.63733-6029")</f>
        <v>81.63733-6029</v>
      </c>
      <c r="B3235" s="13" t="str">
        <f>HYPERLINK("https://parts-sales.ru/parts/MAN/81637336029","Зеркальное стекло отапливаемо")</f>
        <v>Зеркальное стекло отапливаемо</v>
      </c>
      <c r="C3235" s="5" t="s">
        <v>15</v>
      </c>
      <c r="D3235" s="6">
        <v>17388</v>
      </c>
      <c r="E3235" s="6">
        <v>6029</v>
      </c>
      <c r="F3235" s="9">
        <v>0.65</v>
      </c>
      <c r="H3235" s="11"/>
      <c r="I3235" s="11"/>
      <c r="J3235" s="11"/>
    </row>
    <row r="3236" spans="1:10" ht="15.75" x14ac:dyDescent="0.3">
      <c r="A3236" s="12" t="str">
        <f>HYPERLINK("https://parts-sales.ru/parts/MAN/81637336057","81.63733-6057")</f>
        <v>81.63733-6057</v>
      </c>
      <c r="B3236" s="12" t="str">
        <f>HYPERLINK("https://parts-sales.ru/parts/MAN/81637336057","Зеркальное стекло WR300")</f>
        <v>Зеркальное стекло WR300</v>
      </c>
      <c r="C3236" s="3" t="s">
        <v>15</v>
      </c>
      <c r="D3236" s="4">
        <v>15296.4</v>
      </c>
      <c r="E3236" s="4">
        <v>5646</v>
      </c>
      <c r="F3236" s="8">
        <v>0.63</v>
      </c>
      <c r="H3236" s="11"/>
      <c r="I3236" s="11"/>
      <c r="J3236" s="11"/>
    </row>
    <row r="3237" spans="1:10" ht="15.75" x14ac:dyDescent="0.3">
      <c r="A3237" s="13" t="str">
        <f>HYPERLINK("https://parts-sales.ru/parts/MAN/81637350018","81.63735-0018")</f>
        <v>81.63735-0018</v>
      </c>
      <c r="B3237" s="13" t="str">
        <f>HYPERLINK("https://parts-sales.ru/parts/MAN/81637350018","Подкладка")</f>
        <v>Подкладка</v>
      </c>
      <c r="C3237" s="5" t="s">
        <v>15</v>
      </c>
      <c r="D3237" s="6">
        <v>1172.4000000000001</v>
      </c>
      <c r="E3237" s="6">
        <v>185</v>
      </c>
      <c r="F3237" s="9">
        <v>0.84</v>
      </c>
      <c r="H3237" s="11"/>
      <c r="I3237" s="11"/>
      <c r="J3237" s="11"/>
    </row>
    <row r="3238" spans="1:10" ht="15.75" x14ac:dyDescent="0.3">
      <c r="A3238" s="12" t="str">
        <f>HYPERLINK("https://parts-sales.ru/parts/MAN/81637400067","81.63740-0067")</f>
        <v>81.63740-0067</v>
      </c>
      <c r="B3238" s="12" t="str">
        <f>HYPERLINK("https://parts-sales.ru/parts/MAN/81637400067","Пепельница")</f>
        <v>Пепельница</v>
      </c>
      <c r="C3238" s="3" t="s">
        <v>15</v>
      </c>
      <c r="D3238" s="4">
        <v>3972</v>
      </c>
      <c r="E3238" s="4">
        <v>1017</v>
      </c>
      <c r="F3238" s="8">
        <v>0.74</v>
      </c>
      <c r="H3238" s="11"/>
      <c r="I3238" s="11"/>
      <c r="J3238" s="11"/>
    </row>
    <row r="3239" spans="1:10" ht="15.75" x14ac:dyDescent="0.3">
      <c r="A3239" s="13" t="str">
        <f>HYPERLINK("https://parts-sales.ru/parts/MAN/81637450032","81.63745-0032")</f>
        <v>81.63745-0032</v>
      </c>
      <c r="B3239" s="13" t="str">
        <f>HYPERLINK("https://parts-sales.ru/parts/MAN/81637450032","Пробка")</f>
        <v>Пробка</v>
      </c>
      <c r="C3239" s="5" t="s">
        <v>15</v>
      </c>
      <c r="D3239" s="6">
        <v>484.8</v>
      </c>
      <c r="E3239" s="6">
        <v>217</v>
      </c>
      <c r="F3239" s="9">
        <v>0.55000000000000004</v>
      </c>
      <c r="H3239" s="11"/>
      <c r="I3239" s="11"/>
      <c r="J3239" s="11"/>
    </row>
    <row r="3240" spans="1:10" ht="15.75" x14ac:dyDescent="0.3">
      <c r="A3240" s="12" t="str">
        <f>HYPERLINK("https://parts-sales.ru/parts/MAN/81637456036","81.63745-6036")</f>
        <v>81.63745-6036</v>
      </c>
      <c r="B3240" s="12" t="str">
        <f>HYPERLINK("https://parts-sales.ru/parts/MAN/81637456036","Вещевой карман F99 L/R15")</f>
        <v>Вещевой карман F99 L/R15</v>
      </c>
      <c r="C3240" s="3" t="s">
        <v>15</v>
      </c>
      <c r="D3240" s="4">
        <v>34658.400000000001</v>
      </c>
      <c r="E3240" s="4">
        <v>6832</v>
      </c>
      <c r="F3240" s="8">
        <v>0.8</v>
      </c>
      <c r="H3240" s="11"/>
      <c r="I3240" s="11"/>
      <c r="J3240" s="11"/>
    </row>
    <row r="3241" spans="1:10" ht="15.75" x14ac:dyDescent="0.3">
      <c r="A3241" s="13" t="str">
        <f>HYPERLINK("https://parts-sales.ru/parts/MAN/81639030212","81.63903-0212")</f>
        <v>81.63903-0212</v>
      </c>
      <c r="B3241" s="13" t="str">
        <f>HYPERLINK("https://parts-sales.ru/parts/MAN/81639030212","Кожух")</f>
        <v>Кожух</v>
      </c>
      <c r="C3241" s="5" t="s">
        <v>15</v>
      </c>
      <c r="D3241" s="6">
        <v>771.6</v>
      </c>
      <c r="E3241" s="6">
        <v>136</v>
      </c>
      <c r="F3241" s="9">
        <v>0.82</v>
      </c>
      <c r="H3241" s="11"/>
      <c r="I3241" s="11"/>
      <c r="J3241" s="11"/>
    </row>
    <row r="3242" spans="1:10" ht="15.75" x14ac:dyDescent="0.3">
      <c r="A3242" s="12" t="str">
        <f>HYPERLINK("https://parts-sales.ru/parts/MAN/81639030244","81.63903-0244")</f>
        <v>81.63903-0244</v>
      </c>
      <c r="B3242" s="12" t="str">
        <f>HYPERLINK("https://parts-sales.ru/parts/MAN/81639030244","Кожух")</f>
        <v>Кожух</v>
      </c>
      <c r="C3242" s="3" t="s">
        <v>15</v>
      </c>
      <c r="D3242" s="4">
        <v>1330.8</v>
      </c>
      <c r="E3242" s="4">
        <v>439</v>
      </c>
      <c r="F3242" s="8">
        <v>0.67</v>
      </c>
      <c r="H3242" s="11"/>
      <c r="I3242" s="11"/>
      <c r="J3242" s="11"/>
    </row>
    <row r="3243" spans="1:10" ht="15.75" x14ac:dyDescent="0.3">
      <c r="A3243" s="13" t="str">
        <f>HYPERLINK("https://parts-sales.ru/parts/MAN/81639030316","81.63903-0316")</f>
        <v>81.63903-0316</v>
      </c>
      <c r="B3243" s="13" t="str">
        <f>HYPERLINK("https://parts-sales.ru/parts/MAN/81639030316","Место хранения L/R40-L/R41")</f>
        <v>Место хранения L/R40-L/R41</v>
      </c>
      <c r="C3243" s="5" t="s">
        <v>15</v>
      </c>
      <c r="D3243" s="6">
        <v>38088</v>
      </c>
      <c r="E3243" s="6">
        <v>10756</v>
      </c>
      <c r="F3243" s="9">
        <v>0.72</v>
      </c>
      <c r="H3243" s="11"/>
      <c r="I3243" s="11"/>
      <c r="J3243" s="11"/>
    </row>
    <row r="3244" spans="1:10" ht="15.75" x14ac:dyDescent="0.3">
      <c r="A3244" s="12" t="str">
        <f>HYPERLINK("https://parts-sales.ru/parts/MAN/81639030343","81.63903-0343")</f>
        <v>81.63903-0343</v>
      </c>
      <c r="B3244" s="12" t="str">
        <f>HYPERLINK("https://parts-sales.ru/parts/MAN/81639030343","Крышка")</f>
        <v>Крышка</v>
      </c>
      <c r="C3244" s="3" t="s">
        <v>15</v>
      </c>
      <c r="D3244" s="4">
        <v>29839.200000000001</v>
      </c>
      <c r="E3244" s="4">
        <v>6356</v>
      </c>
      <c r="F3244" s="8">
        <v>0.79</v>
      </c>
      <c r="H3244" s="11"/>
      <c r="I3244" s="11"/>
      <c r="J3244" s="11"/>
    </row>
    <row r="3245" spans="1:10" ht="15.75" x14ac:dyDescent="0.3">
      <c r="A3245" s="13" t="str">
        <f>HYPERLINK("https://parts-sales.ru/parts/MAN/81639030347","81.63903-0347")</f>
        <v>81.63903-0347</v>
      </c>
      <c r="B3245" s="13" t="str">
        <f>HYPERLINK("https://parts-sales.ru/parts/MAN/81639030347","Крышка")</f>
        <v>Крышка</v>
      </c>
      <c r="C3245" s="5" t="s">
        <v>15</v>
      </c>
      <c r="D3245" s="6">
        <v>24153.599999999999</v>
      </c>
      <c r="E3245" s="6">
        <v>5979</v>
      </c>
      <c r="F3245" s="9">
        <v>0.75</v>
      </c>
      <c r="H3245" s="11"/>
      <c r="I3245" s="11"/>
      <c r="J3245" s="11"/>
    </row>
    <row r="3246" spans="1:10" ht="15.75" x14ac:dyDescent="0.3">
      <c r="A3246" s="12" t="str">
        <f>HYPERLINK("https://parts-sales.ru/parts/MAN/81639030363","81.63903-0363")</f>
        <v>81.63903-0363</v>
      </c>
      <c r="B3246" s="12" t="str">
        <f>HYPERLINK("https://parts-sales.ru/parts/MAN/81639030363","Заслонка 8er")</f>
        <v>Заслонка 8er</v>
      </c>
      <c r="C3246" s="3" t="s">
        <v>15</v>
      </c>
      <c r="D3246" s="4">
        <v>1117.2</v>
      </c>
      <c r="E3246" s="4">
        <v>271</v>
      </c>
      <c r="F3246" s="8">
        <v>0.76</v>
      </c>
      <c r="H3246" s="11"/>
      <c r="I3246" s="11"/>
      <c r="J3246" s="11"/>
    </row>
    <row r="3247" spans="1:10" ht="15.75" x14ac:dyDescent="0.3">
      <c r="A3247" s="13" t="str">
        <f>HYPERLINK("https://parts-sales.ru/parts/MAN/81639030521","81.63903-0521")</f>
        <v>81.63903-0521</v>
      </c>
      <c r="B3247" s="13" t="str">
        <f>HYPERLINK("https://parts-sales.ru/parts/MAN/81639030521","Заслонка GM/GN/GX/TN/NN/DN/TM")</f>
        <v>Заслонка GM/GN/GX/TN/NN/DN/TM</v>
      </c>
      <c r="C3247" s="5" t="s">
        <v>15</v>
      </c>
      <c r="D3247" s="6">
        <v>6152.4</v>
      </c>
      <c r="E3247" s="6">
        <v>1420</v>
      </c>
      <c r="F3247" s="9">
        <v>0.77</v>
      </c>
      <c r="H3247" s="11"/>
      <c r="I3247" s="11"/>
      <c r="J3247" s="11"/>
    </row>
    <row r="3248" spans="1:10" ht="15.75" x14ac:dyDescent="0.3">
      <c r="A3248" s="12" t="str">
        <f>HYPERLINK("https://parts-sales.ru/parts/MAN/81639100119","81.63910-0119")</f>
        <v>81.63910-0119</v>
      </c>
      <c r="B3248" s="12" t="str">
        <f>HYPERLINK("https://parts-sales.ru/parts/MAN/81639100119","Вещевой карман Ящик для хранения")</f>
        <v>Вещевой карман Ящик для хранения</v>
      </c>
      <c r="C3248" s="3" t="s">
        <v>15</v>
      </c>
      <c r="D3248" s="4">
        <v>8328.26</v>
      </c>
      <c r="E3248" s="4">
        <v>3485</v>
      </c>
      <c r="F3248" s="8">
        <v>0.57999999999999996</v>
      </c>
      <c r="H3248" s="11"/>
      <c r="I3248" s="11"/>
      <c r="J3248" s="11"/>
    </row>
    <row r="3249" spans="1:10" ht="15.75" x14ac:dyDescent="0.3">
      <c r="A3249" s="13" t="str">
        <f>HYPERLINK("https://parts-sales.ru/parts/MAN/81639106032","81.63910-6032")</f>
        <v>81.63910-6032</v>
      </c>
      <c r="B3249" s="13" t="str">
        <f>HYPERLINK("https://parts-sales.ru/parts/MAN/81639106032","Холодильный шкаф F99 L/R34,39,44,45,49")</f>
        <v>Холодильный шкаф F99 L/R34,39,44,45,49</v>
      </c>
      <c r="C3249" s="5" t="s">
        <v>15</v>
      </c>
      <c r="D3249" s="6">
        <v>102020.53</v>
      </c>
      <c r="E3249" s="6">
        <v>66777</v>
      </c>
      <c r="F3249" s="9">
        <v>0.35</v>
      </c>
      <c r="H3249" s="11"/>
      <c r="I3249" s="11"/>
      <c r="J3249" s="11"/>
    </row>
    <row r="3250" spans="1:10" ht="15.75" x14ac:dyDescent="0.3">
      <c r="A3250" s="12" t="str">
        <f>HYPERLINK("https://parts-sales.ru/parts/MAN/81639106246","81.63910-6246")</f>
        <v>81.63910-6246</v>
      </c>
      <c r="B3250" s="12" t="str">
        <f>HYPERLINK("https://parts-sales.ru/parts/MAN/81639106246","Крышка Ящик для хранения")</f>
        <v>Крышка Ящик для хранения</v>
      </c>
      <c r="C3250" s="3" t="s">
        <v>15</v>
      </c>
      <c r="D3250" s="4">
        <v>9372</v>
      </c>
      <c r="E3250" s="4">
        <v>2540</v>
      </c>
      <c r="F3250" s="8">
        <v>0.73</v>
      </c>
      <c r="H3250" s="11"/>
      <c r="I3250" s="11"/>
      <c r="J3250" s="11"/>
    </row>
    <row r="3251" spans="1:10" ht="15.75" x14ac:dyDescent="0.3">
      <c r="A3251" s="13" t="str">
        <f>HYPERLINK("https://parts-sales.ru/parts/MAN/81639106252","81.63910-6252")</f>
        <v>81.63910-6252</v>
      </c>
      <c r="B3251" s="13" t="str">
        <f>HYPERLINK("https://parts-sales.ru/parts/MAN/81639106252","Крышка Ящик для хранения")</f>
        <v>Крышка Ящик для хранения</v>
      </c>
      <c r="C3251" s="5" t="s">
        <v>15</v>
      </c>
      <c r="D3251" s="6">
        <v>8991.6</v>
      </c>
      <c r="E3251" s="6">
        <v>2390</v>
      </c>
      <c r="F3251" s="9">
        <v>0.73</v>
      </c>
      <c r="H3251" s="11"/>
      <c r="I3251" s="11"/>
      <c r="J3251" s="11"/>
    </row>
    <row r="3252" spans="1:10" ht="15.75" x14ac:dyDescent="0.3">
      <c r="A3252" s="12" t="str">
        <f>HYPERLINK("https://parts-sales.ru/parts/MAN/81639210013","81.63921-0013")</f>
        <v>81.63921-0013</v>
      </c>
      <c r="B3252" s="12" t="str">
        <f>HYPERLINK("https://parts-sales.ru/parts/MAN/81639210013","Шайба Холодильный шкаф")</f>
        <v>Шайба Холодильный шкаф</v>
      </c>
      <c r="C3252" s="3" t="s">
        <v>15</v>
      </c>
      <c r="D3252" s="4">
        <v>277.2</v>
      </c>
      <c r="E3252" s="4">
        <v>62</v>
      </c>
      <c r="F3252" s="8">
        <v>0.78</v>
      </c>
      <c r="H3252" s="11"/>
      <c r="I3252" s="11"/>
      <c r="J3252" s="11"/>
    </row>
    <row r="3253" spans="1:10" ht="15.75" x14ac:dyDescent="0.3">
      <c r="A3253" s="13" t="str">
        <f>HYPERLINK("https://parts-sales.ru/parts/MAN/81639210014","81.63921-0014")</f>
        <v>81.63921-0014</v>
      </c>
      <c r="B3253" s="13" t="str">
        <f>HYPERLINK("https://parts-sales.ru/parts/MAN/81639210014","Втулка Перегородка")</f>
        <v>Втулка Перегородка</v>
      </c>
      <c r="C3253" s="5" t="s">
        <v>15</v>
      </c>
      <c r="D3253" s="6">
        <v>648</v>
      </c>
      <c r="E3253" s="6">
        <v>146</v>
      </c>
      <c r="F3253" s="9">
        <v>0.77</v>
      </c>
      <c r="H3253" s="11"/>
      <c r="I3253" s="11"/>
      <c r="J3253" s="11"/>
    </row>
    <row r="3254" spans="1:10" ht="15.75" x14ac:dyDescent="0.3">
      <c r="A3254" s="12" t="str">
        <f>HYPERLINK("https://parts-sales.ru/parts/MAN/81664100176","81.66410-0176")</f>
        <v>81.66410-0176</v>
      </c>
      <c r="B3254" s="12" t="str">
        <f>HYPERLINK("https://parts-sales.ru/parts/MAN/81664100176","Крыло")</f>
        <v>Крыло</v>
      </c>
      <c r="C3254" s="3" t="s">
        <v>15</v>
      </c>
      <c r="D3254" s="4">
        <v>10713.6</v>
      </c>
      <c r="E3254" s="4">
        <v>3524</v>
      </c>
      <c r="F3254" s="8">
        <v>0.67</v>
      </c>
      <c r="H3254" s="11"/>
      <c r="I3254" s="11"/>
      <c r="J3254" s="11"/>
    </row>
    <row r="3255" spans="1:10" ht="15.75" x14ac:dyDescent="0.3">
      <c r="A3255" s="13" t="str">
        <f>HYPERLINK("https://parts-sales.ru/parts/MAN/81664100237","81.66410-0237")</f>
        <v>81.66410-0237</v>
      </c>
      <c r="B3255" s="13" t="str">
        <f>HYPERLINK("https://parts-sales.ru/parts/MAN/81664100237","Болт")</f>
        <v>Болт</v>
      </c>
      <c r="C3255" s="5" t="s">
        <v>15</v>
      </c>
      <c r="D3255" s="6">
        <v>259.2</v>
      </c>
      <c r="E3255" s="6">
        <v>46</v>
      </c>
      <c r="F3255" s="9">
        <v>0.82</v>
      </c>
      <c r="H3255" s="11"/>
      <c r="I3255" s="11"/>
      <c r="J3255" s="11"/>
    </row>
    <row r="3256" spans="1:10" ht="15.75" x14ac:dyDescent="0.3">
      <c r="A3256" s="12" t="str">
        <f>HYPERLINK("https://parts-sales.ru/parts/MAN/81664100308","81.66410-0308")</f>
        <v>81.66410-0308</v>
      </c>
      <c r="B3256" s="12" t="str">
        <f>HYPERLINK("https://parts-sales.ru/parts/MAN/81664100308","Козырек крыла")</f>
        <v>Козырек крыла</v>
      </c>
      <c r="C3256" s="3" t="s">
        <v>15</v>
      </c>
      <c r="D3256" s="4">
        <v>39367.199999999997</v>
      </c>
      <c r="E3256" s="4">
        <v>7845</v>
      </c>
      <c r="F3256" s="8">
        <v>0.8</v>
      </c>
      <c r="H3256" s="11"/>
      <c r="I3256" s="11"/>
      <c r="J3256" s="11"/>
    </row>
    <row r="3257" spans="1:10" ht="15.75" x14ac:dyDescent="0.3">
      <c r="A3257" s="13" t="str">
        <f>HYPERLINK("https://parts-sales.ru/parts/MAN/81664100484","81.66410-0484")</f>
        <v>81.66410-0484</v>
      </c>
      <c r="B3257" s="13" t="str">
        <f>HYPERLINK("https://parts-sales.ru/parts/MAN/81664100484","Грязеуловитель 684X310")</f>
        <v>Грязеуловитель 684X310</v>
      </c>
      <c r="C3257" s="5" t="s">
        <v>15</v>
      </c>
      <c r="D3257" s="6">
        <v>7838.7</v>
      </c>
      <c r="E3257" s="6">
        <v>4724</v>
      </c>
      <c r="F3257" s="9">
        <v>0.4</v>
      </c>
      <c r="H3257" s="11"/>
      <c r="I3257" s="11"/>
      <c r="J3257" s="11"/>
    </row>
    <row r="3258" spans="1:10" ht="15.75" x14ac:dyDescent="0.3">
      <c r="A3258" s="12" t="str">
        <f>HYPERLINK("https://parts-sales.ru/parts/MAN/81664100531","81.66410-0531")</f>
        <v>81.66410-0531</v>
      </c>
      <c r="B3258" s="12" t="str">
        <f>HYPERLINK("https://parts-sales.ru/parts/MAN/81664100531","Кожух 666,5X310")</f>
        <v>Кожух 666,5X310</v>
      </c>
      <c r="C3258" s="3" t="s">
        <v>15</v>
      </c>
      <c r="D3258" s="4">
        <v>3918</v>
      </c>
      <c r="E3258" s="4">
        <v>1325</v>
      </c>
      <c r="F3258" s="8">
        <v>0.66</v>
      </c>
      <c r="H3258" s="11"/>
      <c r="I3258" s="11"/>
      <c r="J3258" s="11"/>
    </row>
    <row r="3259" spans="1:10" ht="15.75" x14ac:dyDescent="0.3">
      <c r="A3259" s="13" t="str">
        <f>HYPERLINK("https://parts-sales.ru/parts/MAN/81664105199","81.66410-5199")</f>
        <v>81.66410-5199</v>
      </c>
      <c r="B3259" s="13" t="str">
        <f>HYPERLINK("https://parts-sales.ru/parts/MAN/81664105199","Усилительный листовой элемент")</f>
        <v>Усилительный листовой элемент</v>
      </c>
      <c r="C3259" s="5" t="s">
        <v>15</v>
      </c>
      <c r="D3259" s="6">
        <v>2776.8</v>
      </c>
      <c r="E3259" s="6">
        <v>66</v>
      </c>
      <c r="F3259" s="9">
        <v>0.98</v>
      </c>
      <c r="H3259" s="11"/>
      <c r="I3259" s="11"/>
      <c r="J3259" s="11"/>
    </row>
    <row r="3260" spans="1:10" ht="15.75" x14ac:dyDescent="0.3">
      <c r="A3260" s="12" t="str">
        <f>HYPERLINK("https://parts-sales.ru/parts/MAN/81664106640","81.66410-6640")</f>
        <v>81.66410-6640</v>
      </c>
      <c r="B3260" s="12" t="str">
        <f>HYPERLINK("https://parts-sales.ru/parts/MAN/81664106640","Крыло 520X984")</f>
        <v>Крыло 520X984</v>
      </c>
      <c r="C3260" s="3" t="s">
        <v>15</v>
      </c>
      <c r="D3260" s="4">
        <v>15259.2</v>
      </c>
      <c r="E3260" s="4">
        <v>1574</v>
      </c>
      <c r="F3260" s="8">
        <v>0.9</v>
      </c>
      <c r="H3260" s="11"/>
      <c r="I3260" s="11"/>
      <c r="J3260" s="11"/>
    </row>
    <row r="3261" spans="1:10" ht="15.75" x14ac:dyDescent="0.3">
      <c r="A3261" s="13" t="str">
        <f>HYPERLINK("https://parts-sales.ru/parts/MAN/81664206080","81.66420-6080")</f>
        <v>81.66420-6080</v>
      </c>
      <c r="B3261" s="13" t="str">
        <f>HYPERLINK("https://parts-sales.ru/parts/MAN/81664206080","Кронштейн крыла")</f>
        <v>Кронштейн крыла</v>
      </c>
      <c r="C3261" s="5" t="s">
        <v>15</v>
      </c>
      <c r="D3261" s="6">
        <v>28604.400000000001</v>
      </c>
      <c r="E3261" s="6">
        <v>6727</v>
      </c>
      <c r="F3261" s="9">
        <v>0.76</v>
      </c>
      <c r="H3261" s="11"/>
      <c r="I3261" s="11"/>
      <c r="J3261" s="11"/>
    </row>
    <row r="3262" spans="1:10" ht="15.75" x14ac:dyDescent="0.3">
      <c r="A3262" s="12" t="str">
        <f>HYPERLINK("https://parts-sales.ru/parts/MAN/81664206240","81.66420-6240")</f>
        <v>81.66420-6240</v>
      </c>
      <c r="B3262" s="12" t="str">
        <f>HYPERLINK("https://parts-sales.ru/parts/MAN/81664206240","Кронштейн крыла")</f>
        <v>Кронштейн крыла</v>
      </c>
      <c r="C3262" s="3" t="s">
        <v>15</v>
      </c>
      <c r="D3262" s="4">
        <v>29245.200000000001</v>
      </c>
      <c r="E3262" s="4">
        <v>7748</v>
      </c>
      <c r="F3262" s="8">
        <v>0.74</v>
      </c>
      <c r="H3262" s="11"/>
      <c r="I3262" s="11"/>
      <c r="J3262" s="11"/>
    </row>
    <row r="3263" spans="1:10" ht="15.75" x14ac:dyDescent="0.3">
      <c r="A3263" s="13" t="str">
        <f>HYPERLINK("https://parts-sales.ru/parts/MAN/81664206331","81.66420-6331")</f>
        <v>81.66420-6331</v>
      </c>
      <c r="B3263" s="13" t="str">
        <f>HYPERLINK("https://parts-sales.ru/parts/MAN/81664206331","Кронштейн крыла")</f>
        <v>Кронштейн крыла</v>
      </c>
      <c r="C3263" s="5" t="s">
        <v>15</v>
      </c>
      <c r="D3263" s="6">
        <v>6621.6</v>
      </c>
      <c r="E3263" s="6">
        <v>1033</v>
      </c>
      <c r="F3263" s="9">
        <v>0.84</v>
      </c>
      <c r="H3263" s="11"/>
      <c r="I3263" s="11"/>
      <c r="J3263" s="11"/>
    </row>
    <row r="3264" spans="1:10" ht="15.75" x14ac:dyDescent="0.3">
      <c r="A3264" s="12" t="str">
        <f>HYPERLINK("https://parts-sales.ru/parts/MAN/81664206351","81.66420-6351")</f>
        <v>81.66420-6351</v>
      </c>
      <c r="B3264" s="12" t="str">
        <f>HYPERLINK("https://parts-sales.ru/parts/MAN/81664206351","Кронштейн крыла")</f>
        <v>Кронштейн крыла</v>
      </c>
      <c r="C3264" s="3" t="s">
        <v>15</v>
      </c>
      <c r="D3264" s="4">
        <v>6621.6</v>
      </c>
      <c r="E3264" s="4">
        <v>483</v>
      </c>
      <c r="F3264" s="8">
        <v>0.93</v>
      </c>
      <c r="H3264" s="11"/>
      <c r="I3264" s="11"/>
      <c r="J3264" s="11"/>
    </row>
    <row r="3265" spans="1:10" ht="15.75" x14ac:dyDescent="0.3">
      <c r="A3265" s="13" t="str">
        <f>HYPERLINK("https://parts-sales.ru/parts/MAN/81664206370","81.66420-6370")</f>
        <v>81.66420-6370</v>
      </c>
      <c r="B3265" s="13" t="str">
        <f>HYPERLINK("https://parts-sales.ru/parts/MAN/81664206370","Кронштейн крыла")</f>
        <v>Кронштейн крыла</v>
      </c>
      <c r="C3265" s="5" t="s">
        <v>15</v>
      </c>
      <c r="D3265" s="6">
        <v>29672.400000000001</v>
      </c>
      <c r="E3265" s="6">
        <v>9751</v>
      </c>
      <c r="F3265" s="9">
        <v>0.67</v>
      </c>
      <c r="H3265" s="11"/>
      <c r="I3265" s="11"/>
      <c r="J3265" s="11"/>
    </row>
    <row r="3266" spans="1:10" ht="15.75" x14ac:dyDescent="0.3">
      <c r="A3266" s="12" t="str">
        <f>HYPERLINK("https://parts-sales.ru/parts/MAN/81664400187","81.66440-0187")</f>
        <v>81.66440-0187</v>
      </c>
      <c r="B3266" s="12" t="str">
        <f>HYPERLINK("https://parts-sales.ru/parts/MAN/81664400187","Крышка")</f>
        <v>Крышка</v>
      </c>
      <c r="C3266" s="3" t="s">
        <v>15</v>
      </c>
      <c r="D3266" s="4">
        <v>3302.4</v>
      </c>
      <c r="E3266" s="4">
        <v>302</v>
      </c>
      <c r="F3266" s="8">
        <v>0.91</v>
      </c>
      <c r="H3266" s="11"/>
      <c r="I3266" s="11"/>
      <c r="J3266" s="11"/>
    </row>
    <row r="3267" spans="1:10" ht="15.75" x14ac:dyDescent="0.3">
      <c r="A3267" s="13" t="str">
        <f>HYPERLINK("https://parts-sales.ru/parts/MAN/81664400189","81.66440-0189")</f>
        <v>81.66440-0189</v>
      </c>
      <c r="B3267" s="13" t="str">
        <f>HYPERLINK("https://parts-sales.ru/parts/MAN/81664400189","Кронштейн лампы")</f>
        <v>Кронштейн лампы</v>
      </c>
      <c r="C3267" s="5" t="s">
        <v>15</v>
      </c>
      <c r="D3267" s="6">
        <v>3865.2</v>
      </c>
      <c r="E3267" s="6">
        <v>1241</v>
      </c>
      <c r="F3267" s="9">
        <v>0.68</v>
      </c>
      <c r="H3267" s="11"/>
      <c r="I3267" s="11"/>
      <c r="J3267" s="11"/>
    </row>
    <row r="3268" spans="1:10" ht="15.75" x14ac:dyDescent="0.3">
      <c r="A3268" s="12" t="str">
        <f>HYPERLINK("https://parts-sales.ru/parts/MAN/81668036004","81.66803-6004")</f>
        <v>81.66803-6004</v>
      </c>
      <c r="B3268" s="12" t="str">
        <f>HYPERLINK("https://parts-sales.ru/parts/MAN/81668036004","Медицинская аптечка")</f>
        <v>Медицинская аптечка</v>
      </c>
      <c r="C3268" s="3" t="s">
        <v>15</v>
      </c>
      <c r="D3268" s="4">
        <v>2223.6</v>
      </c>
      <c r="E3268" s="4">
        <v>133</v>
      </c>
      <c r="F3268" s="8">
        <v>0.94</v>
      </c>
      <c r="H3268" s="11"/>
      <c r="I3268" s="11"/>
      <c r="J3268" s="11"/>
    </row>
    <row r="3269" spans="1:10" ht="15.75" x14ac:dyDescent="0.3">
      <c r="A3269" s="13" t="str">
        <f>HYPERLINK("https://parts-sales.ru/parts/MAN/81669070017","81.66907-0017")</f>
        <v>81.66907-0017</v>
      </c>
      <c r="B3269" s="13" t="str">
        <f>HYPERLINK("https://parts-sales.ru/parts/MAN/81669070017","Щит с предупред.надписью")</f>
        <v>Щит с предупред.надписью</v>
      </c>
      <c r="C3269" s="5" t="s">
        <v>15</v>
      </c>
      <c r="D3269" s="6">
        <v>5298</v>
      </c>
      <c r="E3269" s="6">
        <v>1116</v>
      </c>
      <c r="F3269" s="9">
        <v>0.79</v>
      </c>
      <c r="H3269" s="11"/>
      <c r="I3269" s="11"/>
      <c r="J3269" s="11"/>
    </row>
    <row r="3270" spans="1:10" ht="15.75" x14ac:dyDescent="0.3">
      <c r="A3270" s="12" t="str">
        <f>HYPERLINK("https://parts-sales.ru/parts/MAN/81669096074","81.66909-6074")</f>
        <v>81.66909-6074</v>
      </c>
      <c r="B3270" s="12" t="str">
        <f>HYPERLINK("https://parts-sales.ru/parts/MAN/81669096074","Огнетушитель")</f>
        <v>Огнетушитель</v>
      </c>
      <c r="C3270" s="3" t="s">
        <v>15</v>
      </c>
      <c r="D3270" s="4">
        <v>2208</v>
      </c>
      <c r="E3270" s="4">
        <v>262</v>
      </c>
      <c r="F3270" s="8">
        <v>0.88</v>
      </c>
      <c r="H3270" s="11"/>
      <c r="I3270" s="11"/>
      <c r="J3270" s="11"/>
    </row>
    <row r="3271" spans="1:10" ht="15.75" x14ac:dyDescent="0.3">
      <c r="A3271" s="13" t="str">
        <f>HYPERLINK("https://parts-sales.ru/parts/MAN/81669105067","81.66910-5067")</f>
        <v>81.66910-5067</v>
      </c>
      <c r="B3271" s="13" t="str">
        <f>HYPERLINK("https://parts-sales.ru/parts/MAN/81669105067","Держатель")</f>
        <v>Держатель</v>
      </c>
      <c r="C3271" s="5" t="s">
        <v>15</v>
      </c>
      <c r="D3271" s="6">
        <v>4897.2</v>
      </c>
      <c r="E3271" s="6">
        <v>169</v>
      </c>
      <c r="F3271" s="9">
        <v>0.97</v>
      </c>
      <c r="H3271" s="11"/>
      <c r="I3271" s="11"/>
      <c r="J3271" s="11"/>
    </row>
    <row r="3272" spans="1:10" ht="15.75" x14ac:dyDescent="0.3">
      <c r="A3272" s="12" t="str">
        <f>HYPERLINK("https://parts-sales.ru/parts/MAN/81669120294","81.66912-0294")</f>
        <v>81.66912-0294</v>
      </c>
      <c r="B3272" s="12" t="str">
        <f>HYPERLINK("https://parts-sales.ru/parts/MAN/81669120294","Промежуточная стенка прямо")</f>
        <v>Промежуточная стенка прямо</v>
      </c>
      <c r="C3272" s="3" t="s">
        <v>15</v>
      </c>
      <c r="D3272" s="4">
        <v>14223.6</v>
      </c>
      <c r="E3272" s="4">
        <v>2951</v>
      </c>
      <c r="F3272" s="8">
        <v>0.79</v>
      </c>
      <c r="H3272" s="11"/>
      <c r="I3272" s="11"/>
      <c r="J3272" s="11"/>
    </row>
    <row r="3273" spans="1:10" ht="15.75" x14ac:dyDescent="0.3">
      <c r="A3273" s="13" t="str">
        <f>HYPERLINK("https://parts-sales.ru/parts/MAN/81669120295","81.66912-0295")</f>
        <v>81.66912-0295</v>
      </c>
      <c r="B3273" s="13" t="str">
        <f>HYPERLINK("https://parts-sales.ru/parts/MAN/81669120295","Промежуточная стенка F99L/R40-49")</f>
        <v>Промежуточная стенка F99L/R40-49</v>
      </c>
      <c r="C3273" s="5" t="s">
        <v>15</v>
      </c>
      <c r="D3273" s="6">
        <v>13392</v>
      </c>
      <c r="E3273" s="6">
        <v>3326</v>
      </c>
      <c r="F3273" s="9">
        <v>0.75</v>
      </c>
      <c r="H3273" s="11"/>
      <c r="I3273" s="11"/>
      <c r="J3273" s="11"/>
    </row>
    <row r="3274" spans="1:10" ht="15.75" x14ac:dyDescent="0.3">
      <c r="A3274" s="12" t="str">
        <f>HYPERLINK("https://parts-sales.ru/parts/MAN/81669125294","81.66912-5294")</f>
        <v>81.66912-5294</v>
      </c>
      <c r="B3274" s="12" t="str">
        <f>HYPERLINK("https://parts-sales.ru/parts/MAN/81669125294","Крышка ящика для хранения GM/GN/GX")</f>
        <v>Крышка ящика для хранения GM/GN/GX</v>
      </c>
      <c r="C3274" s="3" t="s">
        <v>15</v>
      </c>
      <c r="D3274" s="4">
        <v>55795.199999999997</v>
      </c>
      <c r="E3274" s="4">
        <v>13855</v>
      </c>
      <c r="F3274" s="8">
        <v>0.75</v>
      </c>
      <c r="H3274" s="11"/>
      <c r="I3274" s="11"/>
      <c r="J3274" s="11"/>
    </row>
    <row r="3275" spans="1:10" ht="15.75" x14ac:dyDescent="0.3">
      <c r="A3275" s="13" t="str">
        <f>HYPERLINK("https://parts-sales.ru/parts/MAN/81669360030","81.66936-0030")</f>
        <v>81.66936-0030</v>
      </c>
      <c r="B3275" s="13" t="str">
        <f>HYPERLINK("https://parts-sales.ru/parts/MAN/81669360030","Фиксатор противооткат. упора")</f>
        <v>Фиксатор противооткат. упора</v>
      </c>
      <c r="C3275" s="5" t="s">
        <v>15</v>
      </c>
      <c r="D3275" s="6">
        <v>8156.4</v>
      </c>
      <c r="E3275" s="6">
        <v>1964</v>
      </c>
      <c r="F3275" s="9">
        <v>0.76</v>
      </c>
      <c r="H3275" s="11"/>
      <c r="I3275" s="11"/>
      <c r="J3275" s="11"/>
    </row>
    <row r="3276" spans="1:10" ht="15.75" x14ac:dyDescent="0.3">
      <c r="A3276" s="12" t="str">
        <f>HYPERLINK("https://parts-sales.ru/parts/MAN/81669360079","81.66936-0079")</f>
        <v>81.66936-0079</v>
      </c>
      <c r="B3276" s="12" t="str">
        <f>HYPERLINK("https://parts-sales.ru/parts/MAN/81669360079","Держатель")</f>
        <v>Держатель</v>
      </c>
      <c r="C3276" s="3" t="s">
        <v>15</v>
      </c>
      <c r="D3276" s="4">
        <v>8755.2000000000007</v>
      </c>
      <c r="E3276" s="4">
        <v>2731</v>
      </c>
      <c r="F3276" s="8">
        <v>0.69</v>
      </c>
      <c r="H3276" s="11"/>
      <c r="I3276" s="11"/>
      <c r="J3276" s="11"/>
    </row>
    <row r="3277" spans="1:10" ht="15.75" x14ac:dyDescent="0.3">
      <c r="A3277" s="13" t="str">
        <f>HYPERLINK("https://parts-sales.ru/parts/MAN/81669360090","81.66936-0090")</f>
        <v>81.66936-0090</v>
      </c>
      <c r="B3277" s="13" t="str">
        <f>HYPERLINK("https://parts-sales.ru/parts/MAN/81669360090","Держатель")</f>
        <v>Держатель</v>
      </c>
      <c r="C3277" s="5" t="s">
        <v>15</v>
      </c>
      <c r="D3277" s="6">
        <v>9445.2000000000007</v>
      </c>
      <c r="E3277" s="6">
        <v>2112</v>
      </c>
      <c r="F3277" s="9">
        <v>0.78</v>
      </c>
      <c r="H3277" s="11"/>
      <c r="I3277" s="11"/>
      <c r="J3277" s="11"/>
    </row>
    <row r="3278" spans="1:10" ht="15.75" x14ac:dyDescent="0.3">
      <c r="A3278" s="12" t="str">
        <f>HYPERLINK("https://parts-sales.ru/parts/MAN/81669360092","81.66936-0092")</f>
        <v>81.66936-0092</v>
      </c>
      <c r="B3278" s="12" t="str">
        <f>HYPERLINK("https://parts-sales.ru/parts/MAN/81669360092","Держатель Противооткатный упор для колес")</f>
        <v>Держатель Противооткатный упор для колес</v>
      </c>
      <c r="C3278" s="3" t="s">
        <v>15</v>
      </c>
      <c r="D3278" s="4">
        <v>34154.400000000001</v>
      </c>
      <c r="E3278" s="4">
        <v>10443</v>
      </c>
      <c r="F3278" s="8">
        <v>0.69</v>
      </c>
      <c r="H3278" s="11"/>
      <c r="I3278" s="11"/>
      <c r="J3278" s="11"/>
    </row>
    <row r="3279" spans="1:10" ht="15.75" x14ac:dyDescent="0.3">
      <c r="A3279" s="13" t="str">
        <f>HYPERLINK("https://parts-sales.ru/parts/MAN/81669360093","81.66936-0093")</f>
        <v>81.66936-0093</v>
      </c>
      <c r="B3279" s="13" t="str">
        <f>HYPERLINK("https://parts-sales.ru/parts/MAN/81669360093","Держатель Противооткатный упор для колес")</f>
        <v>Держатель Противооткатный упор для колес</v>
      </c>
      <c r="C3279" s="5" t="s">
        <v>15</v>
      </c>
      <c r="D3279" s="6">
        <v>25188</v>
      </c>
      <c r="E3279" s="6">
        <v>5215</v>
      </c>
      <c r="F3279" s="9">
        <v>0.79</v>
      </c>
      <c r="H3279" s="11"/>
      <c r="I3279" s="11"/>
      <c r="J3279" s="11"/>
    </row>
    <row r="3280" spans="1:10" ht="15.75" x14ac:dyDescent="0.3">
      <c r="A3280" s="12" t="str">
        <f>HYPERLINK("https://parts-sales.ru/parts/MAN/81669365138","81.66936-5138")</f>
        <v>81.66936-5138</v>
      </c>
      <c r="B3280" s="12" t="str">
        <f>HYPERLINK("https://parts-sales.ru/parts/MAN/81669365138","Держатель")</f>
        <v>Держатель</v>
      </c>
      <c r="C3280" s="3" t="s">
        <v>15</v>
      </c>
      <c r="D3280" s="4">
        <v>68199.600000000006</v>
      </c>
      <c r="E3280" s="4">
        <v>16825</v>
      </c>
      <c r="F3280" s="8">
        <v>0.75</v>
      </c>
      <c r="H3280" s="11"/>
      <c r="I3280" s="11"/>
      <c r="J3280" s="11"/>
    </row>
    <row r="3281" spans="1:10" ht="15.75" x14ac:dyDescent="0.3">
      <c r="A3281" s="13" t="str">
        <f>HYPERLINK("https://parts-sales.ru/parts/MAN/81675066020","81.67506-6020")</f>
        <v>81.67506-6020</v>
      </c>
      <c r="B3281" s="13" t="str">
        <f>HYPERLINK("https://parts-sales.ru/parts/MAN/81675066020","Сменный масляный фильтр")</f>
        <v>Сменный масляный фильтр</v>
      </c>
      <c r="C3281" s="5" t="s">
        <v>15</v>
      </c>
      <c r="D3281" s="6">
        <v>23266.799999999999</v>
      </c>
      <c r="E3281" s="6">
        <v>5983</v>
      </c>
      <c r="F3281" s="9">
        <v>0.74</v>
      </c>
      <c r="H3281" s="11"/>
      <c r="I3281" s="11"/>
      <c r="J3281" s="11"/>
    </row>
    <row r="3282" spans="1:10" ht="15.75" x14ac:dyDescent="0.3">
      <c r="A3282" s="12" t="str">
        <f>HYPERLINK("https://parts-sales.ru/parts/MAN/81679010195","81.67901-0195")</f>
        <v>81.67901-0195</v>
      </c>
      <c r="B3282" s="12" t="str">
        <f>HYPERLINK("https://parts-sales.ru/parts/MAN/81679010195","Несущая балка")</f>
        <v>Несущая балка</v>
      </c>
      <c r="C3282" s="3" t="s">
        <v>15</v>
      </c>
      <c r="D3282" s="4">
        <v>2074.8000000000002</v>
      </c>
      <c r="E3282" s="4">
        <v>338</v>
      </c>
      <c r="F3282" s="8">
        <v>0.84</v>
      </c>
      <c r="H3282" s="11"/>
      <c r="I3282" s="11"/>
      <c r="J3282" s="11"/>
    </row>
    <row r="3283" spans="1:10" ht="15.75" x14ac:dyDescent="0.3">
      <c r="A3283" s="13" t="str">
        <f>HYPERLINK("https://parts-sales.ru/parts/MAN/81286016147","81.28601-6147")</f>
        <v>81.28601-6147</v>
      </c>
      <c r="B3283" s="13" t="str">
        <f>HYPERLINK("https://parts-sales.ru/parts/MAN/81286016147","Серводвигатель")</f>
        <v>Серводвигатель</v>
      </c>
      <c r="C3283" s="5" t="s">
        <v>12</v>
      </c>
      <c r="D3283" s="6">
        <v>5466</v>
      </c>
      <c r="E3283" s="6">
        <v>1919</v>
      </c>
      <c r="F3283" s="9">
        <v>0.65</v>
      </c>
      <c r="H3283" s="11"/>
      <c r="I3283" s="11"/>
      <c r="J3283" s="11"/>
    </row>
    <row r="3284" spans="1:10" ht="15.75" x14ac:dyDescent="0.3">
      <c r="A3284" s="12" t="str">
        <f>HYPERLINK("https://parts-sales.ru/parts/MAN/81289010027","81.28901-0027")</f>
        <v>81.28901-0027</v>
      </c>
      <c r="B3284" s="12" t="str">
        <f>HYPERLINK("https://parts-sales.ru/parts/MAN/81289010027","Ламповый патрон")</f>
        <v>Ламповый патрон</v>
      </c>
      <c r="C3284" s="3" t="s">
        <v>12</v>
      </c>
      <c r="D3284" s="4">
        <v>3522</v>
      </c>
      <c r="E3284" s="4">
        <v>690</v>
      </c>
      <c r="F3284" s="8">
        <v>0.8</v>
      </c>
      <c r="H3284" s="11"/>
      <c r="I3284" s="11"/>
      <c r="J3284" s="11"/>
    </row>
    <row r="3285" spans="1:10" ht="15.75" x14ac:dyDescent="0.3">
      <c r="A3285" s="13" t="str">
        <f>HYPERLINK("https://parts-sales.ru/parts/MAN/81289010032","81.28901-0032")</f>
        <v>81.28901-0032</v>
      </c>
      <c r="B3285" s="13" t="str">
        <f>HYPERLINK("https://parts-sales.ru/parts/MAN/81289010032","Штепсельная розетка")</f>
        <v>Штепсельная розетка</v>
      </c>
      <c r="C3285" s="5" t="s">
        <v>12</v>
      </c>
      <c r="D3285" s="6">
        <v>740.4</v>
      </c>
      <c r="E3285" s="6">
        <v>193</v>
      </c>
      <c r="F3285" s="9">
        <v>0.74</v>
      </c>
      <c r="H3285" s="11"/>
      <c r="I3285" s="11"/>
      <c r="J3285" s="11"/>
    </row>
    <row r="3286" spans="1:10" ht="15.75" x14ac:dyDescent="0.3">
      <c r="A3286" s="12" t="str">
        <f>HYPERLINK("https://parts-sales.ru/parts/MAN/81289010037","81.28901-0037")</f>
        <v>81.28901-0037</v>
      </c>
      <c r="B3286" s="12" t="str">
        <f>HYPERLINK("https://parts-sales.ru/parts/MAN/81289010037","Зажимная гильза откидная крышка")</f>
        <v>Зажимная гильза откидная крышка</v>
      </c>
      <c r="C3286" s="3" t="s">
        <v>12</v>
      </c>
      <c r="D3286" s="4">
        <v>562.79999999999995</v>
      </c>
      <c r="E3286" s="4">
        <v>102</v>
      </c>
      <c r="F3286" s="8">
        <v>0.82</v>
      </c>
      <c r="H3286" s="11"/>
      <c r="I3286" s="11"/>
      <c r="J3286" s="11"/>
    </row>
    <row r="3287" spans="1:10" ht="15.75" x14ac:dyDescent="0.3">
      <c r="A3287" s="13" t="str">
        <f>HYPERLINK("https://parts-sales.ru/parts/MAN/81289010041","81.28901-0041")</f>
        <v>81.28901-0041</v>
      </c>
      <c r="B3287" s="13" t="str">
        <f>HYPERLINK("https://parts-sales.ru/parts/MAN/81289010041","Колпачок Штепсельная розетка")</f>
        <v>Колпачок Штепсельная розетка</v>
      </c>
      <c r="C3287" s="5" t="s">
        <v>12</v>
      </c>
      <c r="D3287" s="6">
        <v>666</v>
      </c>
      <c r="E3287" s="6">
        <v>147</v>
      </c>
      <c r="F3287" s="9">
        <v>0.78</v>
      </c>
      <c r="H3287" s="11"/>
      <c r="I3287" s="11"/>
      <c r="J3287" s="11"/>
    </row>
    <row r="3288" spans="1:10" ht="15.75" x14ac:dyDescent="0.3">
      <c r="A3288" s="12" t="str">
        <f>HYPERLINK("https://parts-sales.ru/parts/MAN/85281040010","85.28104-0010")</f>
        <v>85.28104-0010</v>
      </c>
      <c r="B3288" s="12" t="str">
        <f>HYPERLINK("https://parts-sales.ru/parts/MAN/85281040010","Проводка антенны 1810MM")</f>
        <v>Проводка антенны 1810MM</v>
      </c>
      <c r="C3288" s="3" t="s">
        <v>12</v>
      </c>
      <c r="D3288" s="4">
        <v>4851.6000000000004</v>
      </c>
      <c r="E3288" s="4">
        <v>384</v>
      </c>
      <c r="F3288" s="8">
        <v>0.92</v>
      </c>
      <c r="H3288" s="11"/>
      <c r="I3288" s="11"/>
      <c r="J3288" s="11"/>
    </row>
    <row r="3289" spans="1:10" ht="15.75" x14ac:dyDescent="0.3">
      <c r="A3289" s="13" t="str">
        <f>HYPERLINK("https://parts-sales.ru/parts/MAN/85281040011","85.28104-0011")</f>
        <v>85.28104-0011</v>
      </c>
      <c r="B3289" s="13" t="str">
        <f>HYPERLINK("https://parts-sales.ru/parts/MAN/85281040011","Проводка антенны 1810MM")</f>
        <v>Проводка антенны 1810MM</v>
      </c>
      <c r="C3289" s="5" t="s">
        <v>12</v>
      </c>
      <c r="D3289" s="6">
        <v>4806</v>
      </c>
      <c r="E3289" s="6">
        <v>517</v>
      </c>
      <c r="F3289" s="9">
        <v>0.89</v>
      </c>
      <c r="H3289" s="11"/>
      <c r="I3289" s="11"/>
      <c r="J3289" s="11"/>
    </row>
    <row r="3290" spans="1:10" ht="15.75" x14ac:dyDescent="0.3">
      <c r="A3290" s="12" t="str">
        <f>HYPERLINK("https://parts-sales.ru/parts/MAN/85282050001","85.28205-0001")</f>
        <v>85.28205-0001</v>
      </c>
      <c r="B3290" s="12" t="str">
        <f>HYPERLINK("https://parts-sales.ru/parts/MAN/85282050001","Антенна Аварийный случай")</f>
        <v>Антенна Аварийный случай</v>
      </c>
      <c r="C3290" s="3" t="s">
        <v>12</v>
      </c>
      <c r="D3290" s="4">
        <v>10826.4</v>
      </c>
      <c r="E3290" s="4">
        <v>2878</v>
      </c>
      <c r="F3290" s="8">
        <v>0.73</v>
      </c>
      <c r="H3290" s="11"/>
      <c r="I3290" s="11"/>
      <c r="J3290" s="11"/>
    </row>
    <row r="3291" spans="1:10" ht="15.75" x14ac:dyDescent="0.3">
      <c r="A3291" s="13" t="str">
        <f>HYPERLINK("https://parts-sales.ru/parts/MAN/85282050002","85.28205-0002")</f>
        <v>85.28205-0002</v>
      </c>
      <c r="B3291" s="13" t="str">
        <f>HYPERLINK("https://parts-sales.ru/parts/MAN/85282050002","Антенна Аварийный случай")</f>
        <v>Антенна Аварийный случай</v>
      </c>
      <c r="C3291" s="5" t="s">
        <v>12</v>
      </c>
      <c r="D3291" s="6">
        <v>2026.8</v>
      </c>
      <c r="E3291" s="6">
        <v>271</v>
      </c>
      <c r="F3291" s="9">
        <v>0.87</v>
      </c>
      <c r="H3291" s="11"/>
      <c r="I3291" s="11"/>
      <c r="J3291" s="11"/>
    </row>
    <row r="3292" spans="1:10" ht="15.75" x14ac:dyDescent="0.3">
      <c r="A3292" s="12" t="str">
        <f>HYPERLINK("https://parts-sales.ru/parts/MAN/81291980507","81.29198-0507")</f>
        <v>81.29198-0507</v>
      </c>
      <c r="B3292" s="12" t="str">
        <f>HYPERLINK("https://parts-sales.ru/parts/MAN/81291980507","Электропроводка 1-WS")</f>
        <v>Электропроводка 1-WS</v>
      </c>
      <c r="C3292" s="3" t="s">
        <v>12</v>
      </c>
      <c r="D3292" s="4">
        <v>688.8</v>
      </c>
      <c r="E3292" s="4">
        <v>83</v>
      </c>
      <c r="F3292" s="8">
        <v>0.88</v>
      </c>
      <c r="H3292" s="11"/>
      <c r="I3292" s="11"/>
      <c r="J3292" s="11"/>
    </row>
    <row r="3293" spans="1:10" ht="15.75" x14ac:dyDescent="0.3">
      <c r="A3293" s="13" t="str">
        <f>HYPERLINK("https://parts-sales.ru/parts/MAN/82434026501","82.43402-6501")</f>
        <v>82.43402-6501</v>
      </c>
      <c r="B3293" s="13" t="str">
        <f>HYPERLINK("https://parts-sales.ru/parts/MAN/82434026501","Рессора задняя 2X20T (16 листовая)")</f>
        <v>Рессора задняя 2X20T (16 листовая)</v>
      </c>
      <c r="C3293" s="5" t="s">
        <v>34</v>
      </c>
      <c r="D3293" s="6">
        <v>229155.6</v>
      </c>
      <c r="E3293" s="6">
        <v>141660</v>
      </c>
      <c r="F3293" s="9">
        <v>0.38</v>
      </c>
      <c r="H3293" s="11"/>
      <c r="I3293" s="11"/>
      <c r="J3293" s="11"/>
    </row>
    <row r="3294" spans="1:10" ht="15.75" x14ac:dyDescent="0.3">
      <c r="A3294" s="12" t="str">
        <f>HYPERLINK("https://parts-sales.ru/parts/MAN/81900010386","81.90001-0386")</f>
        <v>81.90001-0386</v>
      </c>
      <c r="B3294" s="12" t="str">
        <f>HYPERLINK("https://parts-sales.ru/parts/MAN/81900010386","6-гранный установочный винт M10X70X45Z1-")</f>
        <v>6-гранный установочный винт M10X70X45Z1-</v>
      </c>
      <c r="C3294" s="3" t="s">
        <v>6</v>
      </c>
      <c r="D3294" s="4">
        <v>4783.2</v>
      </c>
      <c r="E3294" s="4">
        <v>255</v>
      </c>
      <c r="F3294" s="8">
        <v>0.95</v>
      </c>
      <c r="H3294" s="11"/>
      <c r="I3294" s="11"/>
      <c r="J3294" s="11"/>
    </row>
    <row r="3295" spans="1:10" ht="15.75" x14ac:dyDescent="0.3">
      <c r="A3295" s="13" t="str">
        <f>HYPERLINK("https://parts-sales.ru/parts/MAN/81900010428","81.90001-0428")</f>
        <v>81.90001-0428</v>
      </c>
      <c r="B3295" s="13" t="str">
        <f>HYPERLINK("https://parts-sales.ru/parts/MAN/81900010428","Винт с 6-гранной головкой M8X60")</f>
        <v>Винт с 6-гранной головкой M8X60</v>
      </c>
      <c r="C3295" s="5" t="s">
        <v>6</v>
      </c>
      <c r="D3295" s="6">
        <v>1358.4</v>
      </c>
      <c r="E3295" s="6">
        <v>164</v>
      </c>
      <c r="F3295" s="9">
        <v>0.88</v>
      </c>
      <c r="H3295" s="11"/>
      <c r="I3295" s="11"/>
      <c r="J3295" s="11"/>
    </row>
    <row r="3296" spans="1:10" ht="15.75" x14ac:dyDescent="0.3">
      <c r="A3296" s="12" t="str">
        <f>HYPERLINK("https://parts-sales.ru/parts/MAN/81900010433","81.90001-0433")</f>
        <v>81.90001-0433</v>
      </c>
      <c r="B3296" s="12" t="str">
        <f>HYPERLINK("https://parts-sales.ru/parts/MAN/81900010433","6-гранный установочный винт M10X140Z1-10")</f>
        <v>6-гранный установочный винт M10X140Z1-10</v>
      </c>
      <c r="C3296" s="3" t="s">
        <v>6</v>
      </c>
      <c r="D3296" s="4">
        <v>1467.6</v>
      </c>
      <c r="E3296" s="4">
        <v>253</v>
      </c>
      <c r="F3296" s="8">
        <v>0.83</v>
      </c>
      <c r="H3296" s="11"/>
      <c r="I3296" s="11"/>
      <c r="J3296" s="11"/>
    </row>
    <row r="3297" spans="1:10" ht="15.75" x14ac:dyDescent="0.3">
      <c r="A3297" s="13" t="str">
        <f>HYPERLINK("https://parts-sales.ru/parts/MAN/81900010448","81.90001-0448")</f>
        <v>81.90001-0448</v>
      </c>
      <c r="B3297" s="13" t="str">
        <f>HYPERLINK("https://parts-sales.ru/parts/MAN/81900010448","Винт")</f>
        <v>Винт</v>
      </c>
      <c r="C3297" s="5" t="s">
        <v>6</v>
      </c>
      <c r="D3297" s="6">
        <v>180</v>
      </c>
      <c r="E3297" s="6">
        <v>45</v>
      </c>
      <c r="F3297" s="9">
        <v>0.75</v>
      </c>
      <c r="H3297" s="11"/>
      <c r="I3297" s="11"/>
      <c r="J3297" s="11"/>
    </row>
    <row r="3298" spans="1:10" ht="15.75" x14ac:dyDescent="0.3">
      <c r="A3298" s="12" t="str">
        <f>HYPERLINK("https://parts-sales.ru/parts/MAN/81900010452","81.90001-0452")</f>
        <v>81.90001-0452</v>
      </c>
      <c r="B3298" s="12" t="str">
        <f>HYPERLINK("https://parts-sales.ru/parts/MAN/81900010452","Винт")</f>
        <v>Винт</v>
      </c>
      <c r="C3298" s="3" t="s">
        <v>6</v>
      </c>
      <c r="D3298" s="4">
        <v>147.6</v>
      </c>
      <c r="E3298" s="4">
        <v>39</v>
      </c>
      <c r="F3298" s="8">
        <v>0.74</v>
      </c>
      <c r="H3298" s="11"/>
      <c r="I3298" s="11"/>
      <c r="J3298" s="11"/>
    </row>
    <row r="3299" spans="1:10" ht="15.75" x14ac:dyDescent="0.3">
      <c r="A3299" s="13" t="str">
        <f>HYPERLINK("https://parts-sales.ru/parts/MAN/81900100034","81.90010-0034")</f>
        <v>81.90010-0034</v>
      </c>
      <c r="B3299" s="13" t="str">
        <f>HYPERLINK("https://parts-sales.ru/parts/MAN/81900100034","Конусный болт с 6-гр. головкой M16X1,5X1")</f>
        <v>Конусный болт с 6-гр. головкой M16X1,5X1</v>
      </c>
      <c r="C3299" s="5" t="s">
        <v>6</v>
      </c>
      <c r="D3299" s="6">
        <v>2551.1999999999998</v>
      </c>
      <c r="E3299" s="6">
        <v>50</v>
      </c>
      <c r="F3299" s="9">
        <v>0.98</v>
      </c>
      <c r="H3299" s="11"/>
      <c r="I3299" s="11"/>
      <c r="J3299" s="11"/>
    </row>
    <row r="3300" spans="1:10" ht="15.75" x14ac:dyDescent="0.3">
      <c r="A3300" s="12" t="str">
        <f>HYPERLINK("https://parts-sales.ru/parts/MAN/81900100065","81.90010-0065")</f>
        <v>81.90010-0065</v>
      </c>
      <c r="B3300" s="12" t="str">
        <f>HYPERLINK("https://parts-sales.ru/parts/MAN/81900100065","Конусный болт с 6-гр. головкой M10X1,25X")</f>
        <v>Конусный болт с 6-гр. головкой M10X1,25X</v>
      </c>
      <c r="C3300" s="3" t="s">
        <v>6</v>
      </c>
      <c r="D3300" s="4">
        <v>1573.2</v>
      </c>
      <c r="E3300" s="4">
        <v>349</v>
      </c>
      <c r="F3300" s="8">
        <v>0.78</v>
      </c>
      <c r="H3300" s="11"/>
      <c r="I3300" s="11"/>
      <c r="J3300" s="11"/>
    </row>
    <row r="3301" spans="1:10" ht="15.75" x14ac:dyDescent="0.3">
      <c r="A3301" s="13" t="str">
        <f>HYPERLINK("https://parts-sales.ru/parts/MAN/81900100072","81.90010-0072")</f>
        <v>81.90010-0072</v>
      </c>
      <c r="B3301" s="13" t="str">
        <f>HYPERLINK("https://parts-sales.ru/parts/MAN/81900100072","Конусный болт с 6-гр. головкой M16X1,5X1")</f>
        <v>Конусный болт с 6-гр. головкой M16X1,5X1</v>
      </c>
      <c r="C3301" s="5" t="s">
        <v>6</v>
      </c>
      <c r="D3301" s="6">
        <v>1518</v>
      </c>
      <c r="E3301" s="6">
        <v>74</v>
      </c>
      <c r="F3301" s="9">
        <v>0.95</v>
      </c>
      <c r="H3301" s="11"/>
      <c r="I3301" s="11"/>
      <c r="J3301" s="11"/>
    </row>
    <row r="3302" spans="1:10" ht="15.75" x14ac:dyDescent="0.3">
      <c r="A3302" s="12" t="str">
        <f>HYPERLINK("https://parts-sales.ru/parts/MAN/81900300095","81.90030-0095")</f>
        <v>81.90030-0095</v>
      </c>
      <c r="B3302" s="12" t="str">
        <f>HYPERLINK("https://parts-sales.ru/parts/MAN/81900300095","Винт с цилиндрической головкой M14X22-8.")</f>
        <v>Винт с цилиндрической головкой M14X22-8.</v>
      </c>
      <c r="C3302" s="3" t="s">
        <v>6</v>
      </c>
      <c r="D3302" s="4">
        <v>1942.49</v>
      </c>
      <c r="E3302" s="4">
        <v>1043</v>
      </c>
      <c r="F3302" s="8">
        <v>0.46</v>
      </c>
      <c r="H3302" s="11"/>
      <c r="I3302" s="11"/>
      <c r="J3302" s="11"/>
    </row>
    <row r="3303" spans="1:10" ht="15.75" x14ac:dyDescent="0.3">
      <c r="A3303" s="13" t="str">
        <f>HYPERLINK("https://parts-sales.ru/parts/MAN/81900300204","81.90030-0204")</f>
        <v>81.90030-0204</v>
      </c>
      <c r="B3303" s="13" t="str">
        <f>HYPERLINK("https://parts-sales.ru/parts/MAN/81900300204","Винт с цилиндрической головкой M14X1,5X3")</f>
        <v>Винт с цилиндрической головкой M14X1,5X3</v>
      </c>
      <c r="C3303" s="5" t="s">
        <v>6</v>
      </c>
      <c r="D3303" s="6">
        <v>2059.1999999999998</v>
      </c>
      <c r="E3303" s="6">
        <v>13</v>
      </c>
      <c r="F3303" s="9">
        <v>0.99</v>
      </c>
      <c r="H3303" s="11"/>
      <c r="I3303" s="11"/>
      <c r="J3303" s="11"/>
    </row>
    <row r="3304" spans="1:10" ht="15.75" x14ac:dyDescent="0.3">
      <c r="A3304" s="12" t="str">
        <f>HYPERLINK("https://parts-sales.ru/parts/MAN/81900300205","81.90030-0205")</f>
        <v>81.90030-0205</v>
      </c>
      <c r="B3304" s="12" t="str">
        <f>HYPERLINK("https://parts-sales.ru/parts/MAN/81900300205","Винт с цилиндрической головкой M14X1,5X3")</f>
        <v>Винт с цилиндрической головкой M14X1,5X3</v>
      </c>
      <c r="C3304" s="3" t="s">
        <v>6</v>
      </c>
      <c r="D3304" s="4">
        <v>2223.6</v>
      </c>
      <c r="E3304" s="4">
        <v>752</v>
      </c>
      <c r="F3304" s="8">
        <v>0.66</v>
      </c>
      <c r="H3304" s="11"/>
      <c r="I3304" s="11"/>
      <c r="J3304" s="11"/>
    </row>
    <row r="3305" spans="1:10" ht="15.75" x14ac:dyDescent="0.3">
      <c r="A3305" s="13" t="str">
        <f>HYPERLINK("https://parts-sales.ru/parts/MAN/81900300206","81.90030-0206")</f>
        <v>81.90030-0206</v>
      </c>
      <c r="B3305" s="13" t="str">
        <f>HYPERLINK("https://parts-sales.ru/parts/MAN/81900300206","Винт с цилиндрической головкой M14X1,5X4")</f>
        <v>Винт с цилиндрической головкой M14X1,5X4</v>
      </c>
      <c r="C3305" s="5" t="s">
        <v>6</v>
      </c>
      <c r="D3305" s="6">
        <v>1959.6</v>
      </c>
      <c r="E3305" s="6">
        <v>158</v>
      </c>
      <c r="F3305" s="9">
        <v>0.92</v>
      </c>
      <c r="H3305" s="11"/>
      <c r="I3305" s="11"/>
      <c r="J3305" s="11"/>
    </row>
    <row r="3306" spans="1:10" ht="15.75" x14ac:dyDescent="0.3">
      <c r="A3306" s="12" t="str">
        <f>HYPERLINK("https://parts-sales.ru/parts/MAN/81900300210","81.90030-0210")</f>
        <v>81.90030-0210</v>
      </c>
      <c r="B3306" s="12" t="str">
        <f>HYPERLINK("https://parts-sales.ru/parts/MAN/81900300210","Винт с цилиндрической головкой M8X18-8.8")</f>
        <v>Винт с цилиндрической головкой M8X18-8.8</v>
      </c>
      <c r="C3306" s="3" t="s">
        <v>6</v>
      </c>
      <c r="D3306" s="4">
        <v>612</v>
      </c>
      <c r="E3306" s="4">
        <v>136</v>
      </c>
      <c r="F3306" s="8">
        <v>0.78</v>
      </c>
      <c r="H3306" s="11"/>
      <c r="I3306" s="11"/>
      <c r="J3306" s="11"/>
    </row>
    <row r="3307" spans="1:10" ht="15.75" x14ac:dyDescent="0.3">
      <c r="A3307" s="13" t="str">
        <f>HYPERLINK("https://parts-sales.ru/parts/MAN/81901010032","81.90101-0032")</f>
        <v>81.90101-0032</v>
      </c>
      <c r="B3307" s="13" t="str">
        <f>HYPERLINK("https://parts-sales.ru/parts/MAN/81901010032","Колп. листовой винт ST4,8X22C-H-A3C")</f>
        <v>Колп. листовой винт ST4,8X22C-H-A3C</v>
      </c>
      <c r="C3307" s="5" t="s">
        <v>6</v>
      </c>
      <c r="D3307" s="6">
        <v>148.80000000000001</v>
      </c>
      <c r="E3307" s="6">
        <v>21</v>
      </c>
      <c r="F3307" s="9">
        <v>0.86</v>
      </c>
      <c r="H3307" s="11"/>
      <c r="I3307" s="11"/>
      <c r="J3307" s="11"/>
    </row>
    <row r="3308" spans="1:10" ht="15.75" x14ac:dyDescent="0.3">
      <c r="A3308" s="12" t="str">
        <f>HYPERLINK("https://parts-sales.ru/parts/MAN/81901010047","81.90101-0047")</f>
        <v>81.90101-0047</v>
      </c>
      <c r="B3308" s="12" t="str">
        <f>HYPERLINK("https://parts-sales.ru/parts/MAN/81901010047","Полукруглый установочный винт M8X77-ST34")</f>
        <v>Полукруглый установочный винт M8X77-ST34</v>
      </c>
      <c r="C3308" s="3" t="s">
        <v>6</v>
      </c>
      <c r="D3308" s="4">
        <v>1371.6</v>
      </c>
      <c r="E3308" s="4">
        <v>351</v>
      </c>
      <c r="F3308" s="8">
        <v>0.74</v>
      </c>
      <c r="H3308" s="11"/>
      <c r="I3308" s="11"/>
      <c r="J3308" s="11"/>
    </row>
    <row r="3309" spans="1:10" ht="15.75" x14ac:dyDescent="0.3">
      <c r="A3309" s="13" t="str">
        <f>HYPERLINK("https://parts-sales.ru/parts/MAN/81901010067","81.90101-0067")</f>
        <v>81.90101-0067</v>
      </c>
      <c r="B3309" s="13" t="str">
        <f>HYPERLINK("https://parts-sales.ru/parts/MAN/81901010067","Винт с плоской головкой M4X40X25TC-A2-Z")</f>
        <v>Винт с плоской головкой M4X40X25TC-A2-Z</v>
      </c>
      <c r="C3309" s="5" t="s">
        <v>6</v>
      </c>
      <c r="D3309" s="6">
        <v>636</v>
      </c>
      <c r="E3309" s="6">
        <v>206</v>
      </c>
      <c r="F3309" s="9">
        <v>0.68</v>
      </c>
      <c r="H3309" s="11"/>
      <c r="I3309" s="11"/>
      <c r="J3309" s="11"/>
    </row>
    <row r="3310" spans="1:10" ht="15.75" x14ac:dyDescent="0.3">
      <c r="A3310" s="12" t="str">
        <f>HYPERLINK("https://parts-sales.ru/parts/MAN/81902100104","81.90210-0104")</f>
        <v>81.90210-0104</v>
      </c>
      <c r="B3310" s="12" t="str">
        <f>HYPERLINK("https://parts-sales.ru/parts/MAN/81902100104","Палец с резьбой B-M10XM10X6-10.9-SW22-P4")</f>
        <v>Палец с резьбой B-M10XM10X6-10.9-SW22-P4</v>
      </c>
      <c r="C3310" s="3" t="s">
        <v>6</v>
      </c>
      <c r="D3310" s="4">
        <v>1014</v>
      </c>
      <c r="E3310" s="4">
        <v>15</v>
      </c>
      <c r="F3310" s="8">
        <v>0.99</v>
      </c>
      <c r="H3310" s="11"/>
      <c r="I3310" s="11"/>
      <c r="J3310" s="11"/>
    </row>
    <row r="3311" spans="1:10" ht="15.75" x14ac:dyDescent="0.3">
      <c r="A3311" s="13" t="str">
        <f>HYPERLINK("https://parts-sales.ru/parts/MAN/81902100124","81.90210-0124")</f>
        <v>81.90210-0124</v>
      </c>
      <c r="B3311" s="13" t="str">
        <f>HYPERLINK("https://parts-sales.ru/parts/MAN/81902100124","Резьбовая штанга M10X16,5X19,3X60-8.8-MA")</f>
        <v>Резьбовая штанга M10X16,5X19,3X60-8.8-MA</v>
      </c>
      <c r="C3311" s="5" t="s">
        <v>6</v>
      </c>
      <c r="D3311" s="6">
        <v>577.20000000000005</v>
      </c>
      <c r="E3311" s="6">
        <v>10</v>
      </c>
      <c r="F3311" s="9">
        <v>0.98</v>
      </c>
      <c r="H3311" s="11"/>
      <c r="I3311" s="11"/>
      <c r="J3311" s="11"/>
    </row>
    <row r="3312" spans="1:10" ht="15.75" x14ac:dyDescent="0.3">
      <c r="A3312" s="12" t="str">
        <f>HYPERLINK("https://parts-sales.ru/parts/MAN/81903100660","81.90310-0660")</f>
        <v>81.90310-0660</v>
      </c>
      <c r="B3312" s="12" t="str">
        <f>HYPERLINK("https://parts-sales.ru/parts/MAN/81903100660","Резьбовая заглушка")</f>
        <v>Резьбовая заглушка</v>
      </c>
      <c r="C3312" s="3" t="s">
        <v>6</v>
      </c>
      <c r="D3312" s="4">
        <v>1534.8</v>
      </c>
      <c r="E3312" s="4">
        <v>382</v>
      </c>
      <c r="F3312" s="8">
        <v>0.75</v>
      </c>
      <c r="H3312" s="11"/>
      <c r="I3312" s="11"/>
      <c r="J3312" s="11"/>
    </row>
    <row r="3313" spans="1:10" ht="15.75" x14ac:dyDescent="0.3">
      <c r="A3313" s="13" t="str">
        <f>HYPERLINK("https://parts-sales.ru/parts/MAN/81903106014","81.90310-6014")</f>
        <v>81.90310-6014</v>
      </c>
      <c r="B3313" s="13" t="str">
        <f>HYPERLINK("https://parts-sales.ru/parts/MAN/81903106014","Резьбовая заглушка M6X0,75X9-CUZN-SW11")</f>
        <v>Резьбовая заглушка M6X0,75X9-CUZN-SW11</v>
      </c>
      <c r="C3313" s="5" t="s">
        <v>6</v>
      </c>
      <c r="D3313" s="6">
        <v>583.20000000000005</v>
      </c>
      <c r="E3313" s="6">
        <v>97</v>
      </c>
      <c r="F3313" s="9">
        <v>0.83</v>
      </c>
      <c r="H3313" s="11"/>
      <c r="I3313" s="11"/>
      <c r="J3313" s="11"/>
    </row>
    <row r="3314" spans="1:10" ht="15.75" x14ac:dyDescent="0.3">
      <c r="A3314" s="12" t="str">
        <f>HYPERLINK("https://parts-sales.ru/parts/MAN/81903106016","81.90310-6016")</f>
        <v>81.90310-6016</v>
      </c>
      <c r="B3314" s="12" t="str">
        <f>HYPERLINK("https://parts-sales.ru/parts/MAN/81903106016","Резьбовая заглушка M16X1,5X12,5-CUZN-SW1")</f>
        <v>Резьбовая заглушка M16X1,5X12,5-CUZN-SW1</v>
      </c>
      <c r="C3314" s="3" t="s">
        <v>6</v>
      </c>
      <c r="D3314" s="4">
        <v>100.8</v>
      </c>
      <c r="E3314" s="4">
        <v>22</v>
      </c>
      <c r="F3314" s="8">
        <v>0.78</v>
      </c>
      <c r="H3314" s="11"/>
      <c r="I3314" s="11"/>
      <c r="J3314" s="11"/>
    </row>
    <row r="3315" spans="1:10" ht="15.75" x14ac:dyDescent="0.3">
      <c r="A3315" s="13" t="str">
        <f>HYPERLINK("https://parts-sales.ru/parts/MAN/81903106017","81.90310-6017")</f>
        <v>81.90310-6017</v>
      </c>
      <c r="B3315" s="13" t="str">
        <f>HYPERLINK("https://parts-sales.ru/parts/MAN/81903106017","Резьбовая заглушка M10X1X6-CUZN-SW12")</f>
        <v>Резьбовая заглушка M10X1X6-CUZN-SW12</v>
      </c>
      <c r="C3315" s="5" t="s">
        <v>6</v>
      </c>
      <c r="D3315" s="6">
        <v>46.84</v>
      </c>
      <c r="E3315" s="6">
        <v>20</v>
      </c>
      <c r="F3315" s="9">
        <v>0.56999999999999995</v>
      </c>
      <c r="H3315" s="11"/>
      <c r="I3315" s="11"/>
      <c r="J3315" s="11"/>
    </row>
    <row r="3316" spans="1:10" ht="15.75" x14ac:dyDescent="0.3">
      <c r="A3316" s="12" t="str">
        <f>HYPERLINK("https://parts-sales.ru/parts/MAN/81903106033","81.90310-6033")</f>
        <v>81.90310-6033</v>
      </c>
      <c r="B3316" s="12" t="str">
        <f>HYPERLINK("https://parts-sales.ru/parts/MAN/81903106033","Резьбовая заглушка")</f>
        <v>Резьбовая заглушка</v>
      </c>
      <c r="C3316" s="3" t="s">
        <v>6</v>
      </c>
      <c r="D3316" s="4">
        <v>9769.2000000000007</v>
      </c>
      <c r="E3316" s="4">
        <v>2539</v>
      </c>
      <c r="F3316" s="8">
        <v>0.74</v>
      </c>
      <c r="H3316" s="11"/>
      <c r="I3316" s="11"/>
      <c r="J3316" s="11"/>
    </row>
    <row r="3317" spans="1:10" ht="15.75" x14ac:dyDescent="0.3">
      <c r="A3317" s="13" t="str">
        <f>HYPERLINK("https://parts-sales.ru/parts/MAN/81904050223","81.90405-0223")</f>
        <v>81.90405-0223</v>
      </c>
      <c r="B3317" s="13" t="str">
        <f>HYPERLINK("https://parts-sales.ru/parts/MAN/81904050223","6-гранный наборный винт M20X1,5X45-11.9-")</f>
        <v>6-гранный наборный винт M20X1,5X45-11.9-</v>
      </c>
      <c r="C3317" s="5" t="s">
        <v>6</v>
      </c>
      <c r="D3317" s="6">
        <v>2443.1999999999998</v>
      </c>
      <c r="E3317" s="6">
        <v>772</v>
      </c>
      <c r="F3317" s="9">
        <v>0.68</v>
      </c>
      <c r="H3317" s="11"/>
      <c r="I3317" s="11"/>
      <c r="J3317" s="11"/>
    </row>
    <row r="3318" spans="1:10" ht="15.75" x14ac:dyDescent="0.3">
      <c r="A3318" s="12" t="str">
        <f>HYPERLINK("https://parts-sales.ru/parts/MAN/81904100102","81.90410-0102")</f>
        <v>81.90410-0102</v>
      </c>
      <c r="B3318" s="12" t="str">
        <f>HYPERLINK("https://parts-sales.ru/parts/MAN/81904100102","Винт с плоской головкой M8X57,5MK-8.8-T4")</f>
        <v>Винт с плоской головкой M8X57,5MK-8.8-T4</v>
      </c>
      <c r="C3318" s="3" t="s">
        <v>6</v>
      </c>
      <c r="D3318" s="4">
        <v>469.2</v>
      </c>
      <c r="E3318" s="4">
        <v>113</v>
      </c>
      <c r="F3318" s="8">
        <v>0.76</v>
      </c>
      <c r="H3318" s="11"/>
      <c r="I3318" s="11"/>
      <c r="J3318" s="11"/>
    </row>
    <row r="3319" spans="1:10" ht="15.75" x14ac:dyDescent="0.3">
      <c r="A3319" s="13" t="str">
        <f>HYPERLINK("https://parts-sales.ru/parts/MAN/81904100103","81.90410-0103")</f>
        <v>81.90410-0103</v>
      </c>
      <c r="B3319" s="13" t="str">
        <f>HYPERLINK("https://parts-sales.ru/parts/MAN/81904100103","Винт с плоской головкой M8X24,3MK-8.8-T4")</f>
        <v>Винт с плоской головкой M8X24,3MK-8.8-T4</v>
      </c>
      <c r="C3319" s="5" t="s">
        <v>6</v>
      </c>
      <c r="D3319" s="6">
        <v>229.2</v>
      </c>
      <c r="E3319" s="6">
        <v>55</v>
      </c>
      <c r="F3319" s="9">
        <v>0.76</v>
      </c>
      <c r="H3319" s="11"/>
      <c r="I3319" s="11"/>
      <c r="J3319" s="11"/>
    </row>
    <row r="3320" spans="1:10" ht="15.75" x14ac:dyDescent="0.3">
      <c r="A3320" s="12" t="str">
        <f>HYPERLINK("https://parts-sales.ru/parts/MAN/81904100104","81.90410-0104")</f>
        <v>81.90410-0104</v>
      </c>
      <c r="B3320" s="12" t="str">
        <f>HYPERLINK("https://parts-sales.ru/parts/MAN/81904100104","Винт с плоской головкой M8X36MK-8.8-T45-")</f>
        <v>Винт с плоской головкой M8X36MK-8.8-T45-</v>
      </c>
      <c r="C3320" s="3" t="s">
        <v>6</v>
      </c>
      <c r="D3320" s="4">
        <v>469.2</v>
      </c>
      <c r="E3320" s="4">
        <v>113</v>
      </c>
      <c r="F3320" s="8">
        <v>0.76</v>
      </c>
      <c r="H3320" s="11"/>
      <c r="I3320" s="11"/>
      <c r="J3320" s="11"/>
    </row>
    <row r="3321" spans="1:10" ht="15.75" x14ac:dyDescent="0.3">
      <c r="A3321" s="13" t="str">
        <f>HYPERLINK("https://parts-sales.ru/parts/MAN/81904700615","81.90470-0615")</f>
        <v>81.90470-0615</v>
      </c>
      <c r="B3321" s="13" t="str">
        <f>HYPERLINK("https://parts-sales.ru/parts/MAN/81904700615","Лист. борозд. винт с цил. гол. PT-KA3,5X")</f>
        <v>Лист. борозд. винт с цил. гол. PT-KA3,5X</v>
      </c>
      <c r="C3321" s="5" t="s">
        <v>6</v>
      </c>
      <c r="D3321" s="6">
        <v>374.4</v>
      </c>
      <c r="E3321" s="6">
        <v>69</v>
      </c>
      <c r="F3321" s="9">
        <v>0.82</v>
      </c>
      <c r="H3321" s="11"/>
      <c r="I3321" s="11"/>
      <c r="J3321" s="11"/>
    </row>
    <row r="3322" spans="1:10" ht="15.75" x14ac:dyDescent="0.3">
      <c r="A3322" s="12" t="str">
        <f>HYPERLINK("https://parts-sales.ru/parts/MAN/81904700629","81.90470-0629")</f>
        <v>81.90470-0629</v>
      </c>
      <c r="B3322" s="12" t="str">
        <f>HYPERLINK("https://parts-sales.ru/parts/MAN/81904700629","Сферич. бороздк. винт PT-DG4X16-WN1552-S")</f>
        <v>Сферич. бороздк. винт PT-DG4X16-WN1552-S</v>
      </c>
      <c r="C3322" s="3" t="s">
        <v>6</v>
      </c>
      <c r="D3322" s="4">
        <v>109.2</v>
      </c>
      <c r="E3322" s="4">
        <v>4</v>
      </c>
      <c r="F3322" s="8">
        <v>0.96</v>
      </c>
      <c r="H3322" s="11"/>
      <c r="I3322" s="11"/>
      <c r="J3322" s="11"/>
    </row>
    <row r="3323" spans="1:10" ht="15.75" x14ac:dyDescent="0.3">
      <c r="A3323" s="13" t="str">
        <f>HYPERLINK("https://parts-sales.ru/parts/MAN/81904900726","81.90490-0726")</f>
        <v>81.90490-0726</v>
      </c>
      <c r="B3323" s="13" t="str">
        <f>HYPERLINK("https://parts-sales.ru/parts/MAN/81904900726","Зажимной винт M14X1,5X100-10.9-MAN183-3-")</f>
        <v>Зажимной винт M14X1,5X100-10.9-MAN183-3-</v>
      </c>
      <c r="C3323" s="5" t="s">
        <v>6</v>
      </c>
      <c r="D3323" s="6">
        <v>4207.2</v>
      </c>
      <c r="E3323" s="6">
        <v>1662</v>
      </c>
      <c r="F3323" s="9">
        <v>0.6</v>
      </c>
      <c r="H3323" s="11"/>
      <c r="I3323" s="11"/>
      <c r="J3323" s="11"/>
    </row>
    <row r="3324" spans="1:10" ht="15.75" x14ac:dyDescent="0.3">
      <c r="A3324" s="12" t="str">
        <f>HYPERLINK("https://parts-sales.ru/parts/MAN/81904900827","81.90490-0827")</f>
        <v>81.90490-0827</v>
      </c>
      <c r="B3324" s="12" t="str">
        <f>HYPERLINK("https://parts-sales.ru/parts/MAN/81904900827","6-гранный наборный винт M8X30")</f>
        <v>6-гранный наборный винт M8X30</v>
      </c>
      <c r="C3324" s="3" t="s">
        <v>6</v>
      </c>
      <c r="D3324" s="4">
        <v>429.6</v>
      </c>
      <c r="E3324" s="4">
        <v>97</v>
      </c>
      <c r="F3324" s="8">
        <v>0.77</v>
      </c>
      <c r="H3324" s="11"/>
      <c r="I3324" s="11"/>
      <c r="J3324" s="11"/>
    </row>
    <row r="3325" spans="1:10" ht="15.75" x14ac:dyDescent="0.3">
      <c r="A3325" s="13" t="str">
        <f>HYPERLINK("https://parts-sales.ru/parts/MAN/81904900846","81.90490-0846")</f>
        <v>81.90490-0846</v>
      </c>
      <c r="B3325" s="13" t="str">
        <f>HYPERLINK("https://parts-sales.ru/parts/MAN/81904900846","Винт M5X20-8.8-T20-MAN183-B1")</f>
        <v>Винт M5X20-8.8-T20-MAN183-B1</v>
      </c>
      <c r="C3325" s="5" t="s">
        <v>6</v>
      </c>
      <c r="D3325" s="6">
        <v>231.6</v>
      </c>
      <c r="E3325" s="6">
        <v>73</v>
      </c>
      <c r="F3325" s="9">
        <v>0.68</v>
      </c>
      <c r="H3325" s="11"/>
      <c r="I3325" s="11"/>
      <c r="J3325" s="11"/>
    </row>
    <row r="3326" spans="1:10" ht="15.75" x14ac:dyDescent="0.3">
      <c r="A3326" s="12" t="str">
        <f>HYPERLINK("https://parts-sales.ru/parts/MAN/81904900873","81.90490-0873")</f>
        <v>81.90490-0873</v>
      </c>
      <c r="B3326" s="12" t="str">
        <f>HYPERLINK("https://parts-sales.ru/parts/MAN/81904900873","Разрывной винт M8X30-ASP-8.8-E8")</f>
        <v>Разрывной винт M8X30-ASP-8.8-E8</v>
      </c>
      <c r="C3326" s="3" t="s">
        <v>6</v>
      </c>
      <c r="D3326" s="4">
        <v>126</v>
      </c>
      <c r="E3326" s="4">
        <v>21</v>
      </c>
      <c r="F3326" s="8">
        <v>0.83</v>
      </c>
      <c r="H3326" s="11"/>
      <c r="I3326" s="11"/>
      <c r="J3326" s="11"/>
    </row>
    <row r="3327" spans="1:10" ht="15.75" x14ac:dyDescent="0.3">
      <c r="A3327" s="13" t="str">
        <f>HYPERLINK("https://parts-sales.ru/parts/MAN/81904900882","81.90490-0882")</f>
        <v>81.90490-0882</v>
      </c>
      <c r="B3327" s="13" t="str">
        <f>HYPERLINK("https://parts-sales.ru/parts/MAN/81904900882","Сферич. бороздк. винт PT-K6X15-Z4,19X30X")</f>
        <v>Сферич. бороздк. винт PT-K6X15-Z4,19X30X</v>
      </c>
      <c r="C3327" s="5" t="s">
        <v>6</v>
      </c>
      <c r="D3327" s="6">
        <v>577.20000000000005</v>
      </c>
      <c r="E3327" s="6">
        <v>24</v>
      </c>
      <c r="F3327" s="9">
        <v>0.96</v>
      </c>
      <c r="H3327" s="11"/>
      <c r="I3327" s="11"/>
      <c r="J3327" s="11"/>
    </row>
    <row r="3328" spans="1:10" ht="15.75" x14ac:dyDescent="0.3">
      <c r="A3328" s="12" t="str">
        <f>HYPERLINK("https://parts-sales.ru/parts/MAN/81904900901","81.90490-0901")</f>
        <v>81.90490-0901</v>
      </c>
      <c r="B3328" s="12" t="str">
        <f>HYPERLINK("https://parts-sales.ru/parts/MAN/81904900901","Винт")</f>
        <v>Винт</v>
      </c>
      <c r="C3328" s="3" t="s">
        <v>6</v>
      </c>
      <c r="D3328" s="4">
        <v>158.4</v>
      </c>
      <c r="E3328" s="4">
        <v>36</v>
      </c>
      <c r="F3328" s="8">
        <v>0.77</v>
      </c>
      <c r="H3328" s="11"/>
      <c r="I3328" s="11"/>
      <c r="J3328" s="11"/>
    </row>
    <row r="3329" spans="1:10" ht="15.75" x14ac:dyDescent="0.3">
      <c r="A3329" s="13" t="str">
        <f>HYPERLINK("https://parts-sales.ru/parts/MAN/81905010109","81.90501-0109")</f>
        <v>81.90501-0109</v>
      </c>
      <c r="B3329" s="13" t="str">
        <f>HYPERLINK("https://parts-sales.ru/parts/MAN/81905010109","Шестигранная гайка M12-9,5-22H-SW16-MAN1")</f>
        <v>Шестигранная гайка M12-9,5-22H-SW16-MAN1</v>
      </c>
      <c r="C3329" s="5" t="s">
        <v>6</v>
      </c>
      <c r="D3329" s="6">
        <v>330</v>
      </c>
      <c r="E3329" s="6">
        <v>116</v>
      </c>
      <c r="F3329" s="9">
        <v>0.65</v>
      </c>
      <c r="H3329" s="11"/>
      <c r="I3329" s="11"/>
      <c r="J3329" s="11"/>
    </row>
    <row r="3330" spans="1:10" ht="15.75" x14ac:dyDescent="0.3">
      <c r="A3330" s="12" t="str">
        <f>HYPERLINK("https://parts-sales.ru/parts/MAN/81906200086","81.90620-0086")</f>
        <v>81.90620-0086</v>
      </c>
      <c r="B3330" s="12" t="str">
        <f>HYPERLINK("https://parts-sales.ru/parts/MAN/81906200086","Шлицевая гайка M58X1,5")</f>
        <v>Шлицевая гайка M58X1,5</v>
      </c>
      <c r="C3330" s="3" t="s">
        <v>6</v>
      </c>
      <c r="D3330" s="4">
        <v>13044.79</v>
      </c>
      <c r="E3330" s="4">
        <v>3275</v>
      </c>
      <c r="F3330" s="8">
        <v>0.75</v>
      </c>
      <c r="H3330" s="11"/>
      <c r="I3330" s="11"/>
      <c r="J3330" s="11"/>
    </row>
    <row r="3331" spans="1:10" ht="15.75" x14ac:dyDescent="0.3">
      <c r="A3331" s="13" t="str">
        <f>HYPERLINK("https://parts-sales.ru/parts/MAN/81906200097","81.90620-0097")</f>
        <v>81.90620-0097</v>
      </c>
      <c r="B3331" s="13" t="str">
        <f>HYPERLINK("https://parts-sales.ru/parts/MAN/81906200097","Шлицевая гайка M100X1,5-CK45V-MAN183-PHR")</f>
        <v>Шлицевая гайка M100X1,5-CK45V-MAN183-PHR</v>
      </c>
      <c r="C3331" s="5" t="s">
        <v>6</v>
      </c>
      <c r="D3331" s="6">
        <v>13285.2</v>
      </c>
      <c r="E3331" s="6">
        <v>4909</v>
      </c>
      <c r="F3331" s="9">
        <v>0.63</v>
      </c>
      <c r="H3331" s="11"/>
      <c r="I3331" s="11"/>
      <c r="J3331" s="11"/>
    </row>
    <row r="3332" spans="1:10" ht="15.75" x14ac:dyDescent="0.3">
      <c r="A3332" s="12" t="str">
        <f>HYPERLINK("https://parts-sales.ru/parts/MAN/81906200098","81.90620-0098")</f>
        <v>81.90620-0098</v>
      </c>
      <c r="B3332" s="12" t="str">
        <f>HYPERLINK("https://parts-sales.ru/parts/MAN/81906200098","Шлицевая гайка M42X1,5")</f>
        <v>Шлицевая гайка M42X1,5</v>
      </c>
      <c r="C3332" s="3" t="s">
        <v>6</v>
      </c>
      <c r="D3332" s="4">
        <v>6124.8</v>
      </c>
      <c r="E3332" s="4">
        <v>1326</v>
      </c>
      <c r="F3332" s="8">
        <v>0.78</v>
      </c>
      <c r="H3332" s="11"/>
      <c r="I3332" s="11"/>
      <c r="J3332" s="11"/>
    </row>
    <row r="3333" spans="1:10" ht="15.75" x14ac:dyDescent="0.3">
      <c r="A3333" s="13" t="str">
        <f>HYPERLINK("https://parts-sales.ru/parts/MAN/81906200116","81.90620-0116")</f>
        <v>81.90620-0116</v>
      </c>
      <c r="B3333" s="13" t="str">
        <f>HYPERLINK("https://parts-sales.ru/parts/MAN/81906200116","Шлицевая гайка M75X1,5-CK45+H+QT-MNPH")</f>
        <v>Шлицевая гайка M75X1,5-CK45+H+QT-MNPH</v>
      </c>
      <c r="C3333" s="5" t="s">
        <v>6</v>
      </c>
      <c r="D3333" s="6">
        <v>4004.61</v>
      </c>
      <c r="E3333" s="6">
        <v>2540</v>
      </c>
      <c r="F3333" s="9">
        <v>0.37</v>
      </c>
      <c r="H3333" s="11"/>
      <c r="I3333" s="11"/>
      <c r="J3333" s="11"/>
    </row>
    <row r="3334" spans="1:10" ht="15.75" x14ac:dyDescent="0.3">
      <c r="A3334" s="12" t="str">
        <f>HYPERLINK("https://parts-sales.ru/parts/MAN/81906200127","81.90620-0127")</f>
        <v>81.90620-0127</v>
      </c>
      <c r="B3334" s="12" t="str">
        <f>HYPERLINK("https://parts-sales.ru/parts/MAN/81906200127","Шлицевая гайка")</f>
        <v>Шлицевая гайка</v>
      </c>
      <c r="C3334" s="3" t="s">
        <v>6</v>
      </c>
      <c r="D3334" s="4">
        <v>4537.2</v>
      </c>
      <c r="E3334" s="4">
        <v>1074</v>
      </c>
      <c r="F3334" s="8">
        <v>0.76</v>
      </c>
      <c r="H3334" s="11"/>
      <c r="I3334" s="11"/>
      <c r="J3334" s="11"/>
    </row>
    <row r="3335" spans="1:10" ht="15.75" x14ac:dyDescent="0.3">
      <c r="A3335" s="13" t="str">
        <f>HYPERLINK("https://parts-sales.ru/parts/MAN/81906400063","81.90640-0063")</f>
        <v>81.90640-0063</v>
      </c>
      <c r="B3335" s="13" t="str">
        <f>HYPERLINK("https://parts-sales.ru/parts/MAN/81906400063","Гайка с буртиком M6-18X2,5-8-MAN183-B1")</f>
        <v>Гайка с буртиком M6-18X2,5-8-MAN183-B1</v>
      </c>
      <c r="C3335" s="5" t="s">
        <v>6</v>
      </c>
      <c r="D3335" s="6">
        <v>250.8</v>
      </c>
      <c r="E3335" s="6">
        <v>35</v>
      </c>
      <c r="F3335" s="9">
        <v>0.86</v>
      </c>
      <c r="H3335" s="11"/>
      <c r="I3335" s="11"/>
      <c r="J3335" s="11"/>
    </row>
    <row r="3336" spans="1:10" ht="15.75" x14ac:dyDescent="0.3">
      <c r="A3336" s="12" t="str">
        <f>HYPERLINK("https://parts-sales.ru/parts/MAN/81906850269","81.90685-0269")</f>
        <v>81.90685-0269</v>
      </c>
      <c r="B3336" s="12" t="str">
        <f>HYPERLINK("https://parts-sales.ru/parts/MAN/81906850269","Вставная гайка B4,2-7,0/7,0X10,0-PA6.6-S")</f>
        <v>Вставная гайка B4,2-7,0/7,0X10,0-PA6.6-S</v>
      </c>
      <c r="C3336" s="3" t="s">
        <v>6</v>
      </c>
      <c r="D3336" s="4">
        <v>205.2</v>
      </c>
      <c r="E3336" s="4">
        <v>39</v>
      </c>
      <c r="F3336" s="8">
        <v>0.81</v>
      </c>
      <c r="H3336" s="11"/>
      <c r="I3336" s="11"/>
      <c r="J3336" s="11"/>
    </row>
    <row r="3337" spans="1:10" ht="15.75" x14ac:dyDescent="0.3">
      <c r="A3337" s="13" t="str">
        <f>HYPERLINK("https://parts-sales.ru/parts/MAN/81906850303","81.90685-0303")</f>
        <v>81.90685-0303</v>
      </c>
      <c r="B3337" s="13" t="str">
        <f>HYPERLINK("https://parts-sales.ru/parts/MAN/81906850303","Гайка с буртиком M55X1,5-CK45V-SW65-DBL9")</f>
        <v>Гайка с буртиком M55X1,5-CK45V-SW65-DBL9</v>
      </c>
      <c r="C3337" s="5" t="s">
        <v>6</v>
      </c>
      <c r="D3337" s="6">
        <v>6369.97</v>
      </c>
      <c r="E3337" s="6">
        <v>893</v>
      </c>
      <c r="F3337" s="9">
        <v>0.86</v>
      </c>
      <c r="H3337" s="11"/>
      <c r="I3337" s="11"/>
      <c r="J3337" s="11"/>
    </row>
    <row r="3338" spans="1:10" ht="15.75" x14ac:dyDescent="0.3">
      <c r="A3338" s="12" t="str">
        <f>HYPERLINK("https://parts-sales.ru/parts/MAN/81906850370","81.90685-0370")</f>
        <v>81.90685-0370</v>
      </c>
      <c r="B3338" s="12" t="str">
        <f>HYPERLINK("https://parts-sales.ru/parts/MAN/81906850370","Вставная гайка A4,0-7,7X9,0-PA6-TR")</f>
        <v>Вставная гайка A4,0-7,7X9,0-PA6-TR</v>
      </c>
      <c r="C3338" s="3" t="s">
        <v>6</v>
      </c>
      <c r="D3338" s="4">
        <v>142.80000000000001</v>
      </c>
      <c r="E3338" s="4">
        <v>21</v>
      </c>
      <c r="F3338" s="8">
        <v>0.85</v>
      </c>
      <c r="H3338" s="11"/>
      <c r="I3338" s="11"/>
      <c r="J3338" s="11"/>
    </row>
    <row r="3339" spans="1:10" ht="15.75" x14ac:dyDescent="0.3">
      <c r="A3339" s="13" t="str">
        <f>HYPERLINK("https://parts-sales.ru/parts/MAN/81906850374","81.90685-0374")</f>
        <v>81.90685-0374</v>
      </c>
      <c r="B3339" s="13" t="str">
        <f>HYPERLINK("https://parts-sales.ru/parts/MAN/81906850374","Вставная гайка B4,8-9,7/9,7X18,0-PA-NF")</f>
        <v>Вставная гайка B4,8-9,7/9,7X18,0-PA-NF</v>
      </c>
      <c r="C3339" s="5" t="s">
        <v>6</v>
      </c>
      <c r="D3339" s="6">
        <v>221.05</v>
      </c>
      <c r="E3339" s="6">
        <v>73</v>
      </c>
      <c r="F3339" s="9">
        <v>0.67</v>
      </c>
      <c r="H3339" s="11"/>
      <c r="I3339" s="11"/>
      <c r="J3339" s="11"/>
    </row>
    <row r="3340" spans="1:10" ht="15.75" x14ac:dyDescent="0.3">
      <c r="A3340" s="12" t="str">
        <f>HYPERLINK("https://parts-sales.ru/parts/MAN/81906850388","81.90685-0388")</f>
        <v>81.90685-0388</v>
      </c>
      <c r="B3340" s="12" t="str">
        <f>HYPERLINK("https://parts-sales.ru/parts/MAN/81906850388","6-гранная стопорная гайка M16X1,5-12-C45")</f>
        <v>6-гранная стопорная гайка M16X1,5-12-C45</v>
      </c>
      <c r="C3340" s="3" t="s">
        <v>6</v>
      </c>
      <c r="D3340" s="4">
        <v>684</v>
      </c>
      <c r="E3340" s="4">
        <v>67</v>
      </c>
      <c r="F3340" s="8">
        <v>0.9</v>
      </c>
      <c r="H3340" s="11"/>
      <c r="I3340" s="11"/>
      <c r="J3340" s="11"/>
    </row>
    <row r="3341" spans="1:10" ht="15.75" x14ac:dyDescent="0.3">
      <c r="A3341" s="13" t="str">
        <f>HYPERLINK("https://parts-sales.ru/parts/MAN/81906850407","81.90685-0407")</f>
        <v>81.90685-0407</v>
      </c>
      <c r="B3341" s="13" t="str">
        <f>HYPERLINK("https://parts-sales.ru/parts/MAN/81906850407","Шестигранная гайка M45X1,5-22-ST-SW70")</f>
        <v>Шестигранная гайка M45X1,5-22-ST-SW70</v>
      </c>
      <c r="C3341" s="5" t="s">
        <v>6</v>
      </c>
      <c r="D3341" s="6">
        <v>7939.2</v>
      </c>
      <c r="E3341" s="6">
        <v>2862</v>
      </c>
      <c r="F3341" s="9">
        <v>0.64</v>
      </c>
      <c r="H3341" s="11"/>
      <c r="I3341" s="11"/>
      <c r="J3341" s="11"/>
    </row>
    <row r="3342" spans="1:10" ht="15.75" x14ac:dyDescent="0.3">
      <c r="A3342" s="12" t="str">
        <f>HYPERLINK("https://parts-sales.ru/parts/MAN/81906850410","81.90685-0410")</f>
        <v>81.90685-0410</v>
      </c>
      <c r="B3342" s="12" t="str">
        <f>HYPERLINK("https://parts-sales.ru/parts/MAN/81906850410","Вставная гайка A5,0-12,5X59,5-PA-NF")</f>
        <v>Вставная гайка A5,0-12,5X59,5-PA-NF</v>
      </c>
      <c r="C3342" s="3" t="s">
        <v>6</v>
      </c>
      <c r="D3342" s="4">
        <v>548.4</v>
      </c>
      <c r="E3342" s="4">
        <v>121</v>
      </c>
      <c r="F3342" s="8">
        <v>0.78</v>
      </c>
      <c r="H3342" s="11"/>
      <c r="I3342" s="11"/>
      <c r="J3342" s="11"/>
    </row>
    <row r="3343" spans="1:10" ht="15.75" x14ac:dyDescent="0.3">
      <c r="A3343" s="13" t="str">
        <f>HYPERLINK("https://parts-sales.ru/parts/MAN/81906850411","81.90685-0411")</f>
        <v>81.90685-0411</v>
      </c>
      <c r="B3343" s="13" t="str">
        <f>HYPERLINK("https://parts-sales.ru/parts/MAN/81906850411","Гайка с защелкой 60X3,5X15-POM-GR")</f>
        <v>Гайка с защелкой 60X3,5X15-POM-GR</v>
      </c>
      <c r="C3343" s="5" t="s">
        <v>6</v>
      </c>
      <c r="D3343" s="6">
        <v>252</v>
      </c>
      <c r="E3343" s="6">
        <v>4</v>
      </c>
      <c r="F3343" s="9">
        <v>0.98</v>
      </c>
      <c r="H3343" s="11"/>
      <c r="I3343" s="11"/>
      <c r="J3343" s="11"/>
    </row>
    <row r="3344" spans="1:10" ht="15.75" x14ac:dyDescent="0.3">
      <c r="A3344" s="12" t="str">
        <f>HYPERLINK("https://parts-sales.ru/parts/MAN/81906850438","81.90685-0438")</f>
        <v>81.90685-0438</v>
      </c>
      <c r="B3344" s="12" t="str">
        <f>HYPERLINK("https://parts-sales.ru/parts/MAN/81906850438","Вставная гайка B2,0-10,0/14,0X11,0-PP-GF")</f>
        <v>Вставная гайка B2,0-10,0/14,0X11,0-PP-GF</v>
      </c>
      <c r="C3344" s="3" t="s">
        <v>6</v>
      </c>
      <c r="D3344" s="4">
        <v>378</v>
      </c>
      <c r="E3344" s="4">
        <v>82</v>
      </c>
      <c r="F3344" s="8">
        <v>0.78</v>
      </c>
      <c r="H3344" s="11"/>
      <c r="I3344" s="11"/>
      <c r="J3344" s="11"/>
    </row>
    <row r="3345" spans="1:10" ht="15.75" x14ac:dyDescent="0.3">
      <c r="A3345" s="13" t="str">
        <f>HYPERLINK("https://parts-sales.ru/parts/MAN/81906850439","81.90685-0439")</f>
        <v>81.90685-0439</v>
      </c>
      <c r="B3345" s="13" t="str">
        <f>HYPERLINK("https://parts-sales.ru/parts/MAN/81906850439","Гайка с защелкой 5,0-12X19,9X3,5-POM-GN")</f>
        <v>Гайка с защелкой 5,0-12X19,9X3,5-POM-GN</v>
      </c>
      <c r="C3345" s="5" t="s">
        <v>6</v>
      </c>
      <c r="D3345" s="6">
        <v>94.8</v>
      </c>
      <c r="E3345" s="6">
        <v>25</v>
      </c>
      <c r="F3345" s="9">
        <v>0.74</v>
      </c>
      <c r="H3345" s="11"/>
      <c r="I3345" s="11"/>
      <c r="J3345" s="11"/>
    </row>
    <row r="3346" spans="1:10" ht="15.75" x14ac:dyDescent="0.3">
      <c r="A3346" s="12" t="str">
        <f>HYPERLINK("https://parts-sales.ru/parts/MAN/81906850448","81.90685-0448")</f>
        <v>81.90685-0448</v>
      </c>
      <c r="B3346" s="12" t="str">
        <f>HYPERLINK("https://parts-sales.ru/parts/MAN/81906850448","Гайка")</f>
        <v>Гайка</v>
      </c>
      <c r="C3346" s="3" t="s">
        <v>6</v>
      </c>
      <c r="D3346" s="4">
        <v>211.2</v>
      </c>
      <c r="E3346" s="4">
        <v>38</v>
      </c>
      <c r="F3346" s="8">
        <v>0.82</v>
      </c>
      <c r="H3346" s="11"/>
      <c r="I3346" s="11"/>
      <c r="J3346" s="11"/>
    </row>
    <row r="3347" spans="1:10" ht="15.75" x14ac:dyDescent="0.3">
      <c r="A3347" s="13" t="str">
        <f>HYPERLINK("https://parts-sales.ru/parts/MAN/81906850451","81.90685-0451")</f>
        <v>81.90685-0451</v>
      </c>
      <c r="B3347" s="13" t="str">
        <f>HYPERLINK("https://parts-sales.ru/parts/MAN/81906850451","Гайка с фланцем M 8")</f>
        <v>Гайка с фланцем M 8</v>
      </c>
      <c r="C3347" s="5" t="s">
        <v>6</v>
      </c>
      <c r="D3347" s="6">
        <v>277.2</v>
      </c>
      <c r="E3347" s="6">
        <v>61</v>
      </c>
      <c r="F3347" s="9">
        <v>0.78</v>
      </c>
      <c r="H3347" s="11"/>
      <c r="I3347" s="11"/>
      <c r="J3347" s="11"/>
    </row>
    <row r="3348" spans="1:10" ht="15.75" x14ac:dyDescent="0.3">
      <c r="A3348" s="12" t="str">
        <f>HYPERLINK("https://parts-sales.ru/parts/MAN/81906850483","81.90685-0483")</f>
        <v>81.90685-0483</v>
      </c>
      <c r="B3348" s="12" t="str">
        <f>HYPERLINK("https://parts-sales.ru/parts/MAN/81906850483","6-гран. гайка с буртиком M18X2-24-10-SW2")</f>
        <v>6-гран. гайка с буртиком M18X2-24-10-SW2</v>
      </c>
      <c r="C3348" s="3" t="s">
        <v>6</v>
      </c>
      <c r="D3348" s="4">
        <v>715.2</v>
      </c>
      <c r="E3348" s="4">
        <v>165</v>
      </c>
      <c r="F3348" s="8">
        <v>0.77</v>
      </c>
      <c r="H3348" s="11"/>
      <c r="I3348" s="11"/>
      <c r="J3348" s="11"/>
    </row>
    <row r="3349" spans="1:10" ht="15.75" x14ac:dyDescent="0.3">
      <c r="A3349" s="13" t="str">
        <f>HYPERLINK("https://parts-sales.ru/parts/MAN/81906850486","81.90685-0486")</f>
        <v>81.90685-0486</v>
      </c>
      <c r="B3349" s="13" t="str">
        <f>HYPERLINK("https://parts-sales.ru/parts/MAN/81906850486","6-гран.шарик.гайка с буртиком M20X2-36-1")</f>
        <v>6-гран.шарик.гайка с буртиком M20X2-36-1</v>
      </c>
      <c r="C3349" s="5" t="s">
        <v>6</v>
      </c>
      <c r="D3349" s="6">
        <v>2566.8000000000002</v>
      </c>
      <c r="E3349" s="6">
        <v>490</v>
      </c>
      <c r="F3349" s="9">
        <v>0.81</v>
      </c>
      <c r="H3349" s="11"/>
      <c r="I3349" s="11"/>
      <c r="J3349" s="11"/>
    </row>
    <row r="3350" spans="1:10" ht="15.75" x14ac:dyDescent="0.3">
      <c r="A3350" s="12" t="str">
        <f>HYPERLINK("https://parts-sales.ru/parts/MAN/81906850488","81.90685-0488")</f>
        <v>81.90685-0488</v>
      </c>
      <c r="B3350" s="12" t="str">
        <f>HYPERLINK("https://parts-sales.ru/parts/MAN/81906850488","6-гран.шарик.гайка с буртиком M27X2-40-1")</f>
        <v>6-гран.шарик.гайка с буртиком M27X2-40-1</v>
      </c>
      <c r="C3350" s="3" t="s">
        <v>6</v>
      </c>
      <c r="D3350" s="4">
        <v>2422.8000000000002</v>
      </c>
      <c r="E3350" s="4">
        <v>199</v>
      </c>
      <c r="F3350" s="8">
        <v>0.92</v>
      </c>
      <c r="H3350" s="11"/>
      <c r="I3350" s="11"/>
      <c r="J3350" s="11"/>
    </row>
    <row r="3351" spans="1:10" ht="15.75" x14ac:dyDescent="0.3">
      <c r="A3351" s="13" t="str">
        <f>HYPERLINK("https://parts-sales.ru/parts/MAN/81906850491","81.90685-0491")</f>
        <v>81.90685-0491</v>
      </c>
      <c r="B3351" s="13" t="str">
        <f>HYPERLINK("https://parts-sales.ru/parts/MAN/81906850491","6-гранная стопорная гайка M18X1,5X13-FE/")</f>
        <v>6-гранная стопорная гайка M18X1,5X13-FE/</v>
      </c>
      <c r="C3351" s="5" t="s">
        <v>6</v>
      </c>
      <c r="D3351" s="6">
        <v>1240.8</v>
      </c>
      <c r="E3351" s="6">
        <v>367</v>
      </c>
      <c r="F3351" s="9">
        <v>0.7</v>
      </c>
      <c r="H3351" s="11"/>
      <c r="I3351" s="11"/>
      <c r="J3351" s="11"/>
    </row>
    <row r="3352" spans="1:10" ht="15.75" x14ac:dyDescent="0.3">
      <c r="A3352" s="12" t="str">
        <f>HYPERLINK("https://parts-sales.ru/parts/MAN/81906850495","81.90685-0495")</f>
        <v>81.90685-0495</v>
      </c>
      <c r="B3352" s="12" t="str">
        <f>HYPERLINK("https://parts-sales.ru/parts/MAN/81906850495","6-гранная стопорная гайка M30X1,5X18-FE/")</f>
        <v>6-гранная стопорная гайка M30X1,5X18-FE/</v>
      </c>
      <c r="C3352" s="3" t="s">
        <v>6</v>
      </c>
      <c r="D3352" s="4">
        <v>2144.4</v>
      </c>
      <c r="E3352" s="4">
        <v>511</v>
      </c>
      <c r="F3352" s="8">
        <v>0.76</v>
      </c>
      <c r="H3352" s="11"/>
      <c r="I3352" s="11"/>
      <c r="J3352" s="11"/>
    </row>
    <row r="3353" spans="1:10" ht="15.75" x14ac:dyDescent="0.3">
      <c r="A3353" s="13" t="str">
        <f>HYPERLINK("https://parts-sales.ru/parts/MAN/81906850508","81.90685-0508")</f>
        <v>81.90685-0508</v>
      </c>
      <c r="B3353" s="13" t="str">
        <f>HYPERLINK("https://parts-sales.ru/parts/MAN/81906850508","Гайка с защелкой 60X1,4X8,4-POM")</f>
        <v>Гайка с защелкой 60X1,4X8,4-POM</v>
      </c>
      <c r="C3353" s="5" t="s">
        <v>6</v>
      </c>
      <c r="D3353" s="6">
        <v>114</v>
      </c>
      <c r="E3353" s="6">
        <v>23</v>
      </c>
      <c r="F3353" s="9">
        <v>0.8</v>
      </c>
      <c r="H3353" s="11"/>
      <c r="I3353" s="11"/>
      <c r="J3353" s="11"/>
    </row>
    <row r="3354" spans="1:10" ht="15.75" x14ac:dyDescent="0.3">
      <c r="A3354" s="12" t="str">
        <f>HYPERLINK("https://parts-sales.ru/parts/MAN/81906850515","81.90685-0515")</f>
        <v>81.90685-0515</v>
      </c>
      <c r="B3354" s="12" t="str">
        <f>HYPERLINK("https://parts-sales.ru/parts/MAN/81906850515","Пружинящая гайка")</f>
        <v>Пружинящая гайка</v>
      </c>
      <c r="C3354" s="3" t="s">
        <v>6</v>
      </c>
      <c r="D3354" s="4">
        <v>55.2</v>
      </c>
      <c r="E3354" s="4">
        <v>5</v>
      </c>
      <c r="F3354" s="8">
        <v>0.91</v>
      </c>
      <c r="H3354" s="11"/>
      <c r="I3354" s="11"/>
      <c r="J3354" s="11"/>
    </row>
    <row r="3355" spans="1:10" ht="15.75" x14ac:dyDescent="0.3">
      <c r="A3355" s="13" t="str">
        <f>HYPERLINK("https://parts-sales.ru/parts/MAN/81906850519","81.90685-0519")</f>
        <v>81.90685-0519</v>
      </c>
      <c r="B3355" s="13" t="str">
        <f>HYPERLINK("https://parts-sales.ru/parts/MAN/81906850519","Гайка с защелкой")</f>
        <v>Гайка с защелкой</v>
      </c>
      <c r="C3355" s="5" t="s">
        <v>6</v>
      </c>
      <c r="D3355" s="6">
        <v>330</v>
      </c>
      <c r="E3355" s="6">
        <v>73</v>
      </c>
      <c r="F3355" s="9">
        <v>0.78</v>
      </c>
      <c r="H3355" s="11"/>
      <c r="I3355" s="11"/>
      <c r="J3355" s="11"/>
    </row>
    <row r="3356" spans="1:10" ht="15.75" x14ac:dyDescent="0.3">
      <c r="A3356" s="12" t="str">
        <f>HYPERLINK("https://parts-sales.ru/parts/MAN/81906855007","81.90685-5007")</f>
        <v>81.90685-5007</v>
      </c>
      <c r="B3356" s="12" t="str">
        <f>HYPERLINK("https://parts-sales.ru/parts/MAN/81906855007","6-гран. гайка с буртиком M14X1,5")</f>
        <v>6-гран. гайка с буртиком M14X1,5</v>
      </c>
      <c r="C3356" s="3" t="s">
        <v>6</v>
      </c>
      <c r="D3356" s="4">
        <v>860.4</v>
      </c>
      <c r="E3356" s="4">
        <v>151</v>
      </c>
      <c r="F3356" s="8">
        <v>0.82</v>
      </c>
      <c r="H3356" s="11"/>
      <c r="I3356" s="11"/>
      <c r="J3356" s="11"/>
    </row>
    <row r="3357" spans="1:10" ht="15.75" x14ac:dyDescent="0.3">
      <c r="A3357" s="13" t="str">
        <f>HYPERLINK("https://parts-sales.ru/parts/MAN/81907010720","81.90701-0720")</f>
        <v>81.90701-0720</v>
      </c>
      <c r="B3357" s="13" t="str">
        <f>HYPERLINK("https://parts-sales.ru/parts/MAN/81907010720","Компенсационная шайба 0,35MM")</f>
        <v>Компенсационная шайба 0,35MM</v>
      </c>
      <c r="C3357" s="5" t="s">
        <v>6</v>
      </c>
      <c r="D3357" s="6">
        <v>1500</v>
      </c>
      <c r="E3357" s="6">
        <v>449</v>
      </c>
      <c r="F3357" s="9">
        <v>0.7</v>
      </c>
      <c r="H3357" s="11"/>
      <c r="I3357" s="11"/>
      <c r="J3357" s="11"/>
    </row>
    <row r="3358" spans="1:10" ht="15.75" x14ac:dyDescent="0.3">
      <c r="A3358" s="12" t="str">
        <f>HYPERLINK("https://parts-sales.ru/parts/MAN/81907010947","81.90701-0947")</f>
        <v>81.90701-0947</v>
      </c>
      <c r="B3358" s="12" t="str">
        <f>HYPERLINK("https://parts-sales.ru/parts/MAN/81907010947","Компенсационная шайба 0,07-0,08MM")</f>
        <v>Компенсационная шайба 0,07-0,08MM</v>
      </c>
      <c r="C3358" s="3" t="s">
        <v>6</v>
      </c>
      <c r="D3358" s="4">
        <v>2008.8</v>
      </c>
      <c r="E3358" s="4">
        <v>463</v>
      </c>
      <c r="F3358" s="8">
        <v>0.77</v>
      </c>
      <c r="H3358" s="11"/>
      <c r="I3358" s="11"/>
      <c r="J3358" s="11"/>
    </row>
    <row r="3359" spans="1:10" ht="15.75" x14ac:dyDescent="0.3">
      <c r="A3359" s="13" t="str">
        <f>HYPERLINK("https://parts-sales.ru/parts/MAN/81907010962","81.90701-0962")</f>
        <v>81.90701-0962</v>
      </c>
      <c r="B3359" s="13" t="str">
        <f>HYPERLINK("https://parts-sales.ru/parts/MAN/81907010962","Сферическая шайба")</f>
        <v>Сферическая шайба</v>
      </c>
      <c r="C3359" s="5" t="s">
        <v>6</v>
      </c>
      <c r="D3359" s="6">
        <v>3223.2</v>
      </c>
      <c r="E3359" s="6">
        <v>673</v>
      </c>
      <c r="F3359" s="9">
        <v>0.79</v>
      </c>
      <c r="H3359" s="11"/>
      <c r="I3359" s="11"/>
      <c r="J3359" s="11"/>
    </row>
    <row r="3360" spans="1:10" ht="15.75" x14ac:dyDescent="0.3">
      <c r="A3360" s="12" t="str">
        <f>HYPERLINK("https://parts-sales.ru/parts/MAN/81907020074","81.90702-0074")</f>
        <v>81.90702-0074</v>
      </c>
      <c r="B3360" s="12" t="str">
        <f>HYPERLINK("https://parts-sales.ru/parts/MAN/81907020074","Компенсационная шайба 105X125X0,1-ST2K60")</f>
        <v>Компенсационная шайба 105X125X0,1-ST2K60</v>
      </c>
      <c r="C3360" s="3" t="s">
        <v>6</v>
      </c>
      <c r="D3360" s="4">
        <v>598.72</v>
      </c>
      <c r="E3360" s="4">
        <v>377</v>
      </c>
      <c r="F3360" s="8">
        <v>0.37</v>
      </c>
      <c r="H3360" s="11"/>
      <c r="I3360" s="11"/>
      <c r="J3360" s="11"/>
    </row>
    <row r="3361" spans="1:10" ht="15.75" x14ac:dyDescent="0.3">
      <c r="A3361" s="13" t="str">
        <f>HYPERLINK("https://parts-sales.ru/parts/MAN/81907020075","81.90702-0075")</f>
        <v>81.90702-0075</v>
      </c>
      <c r="B3361" s="13" t="str">
        <f>HYPERLINK("https://parts-sales.ru/parts/MAN/81907020075","Компенсационная шайба 105X125X0,2-ST2K60")</f>
        <v>Компенсационная шайба 105X125X0,2-ST2K60</v>
      </c>
      <c r="C3361" s="5" t="s">
        <v>6</v>
      </c>
      <c r="D3361" s="6">
        <v>585.98</v>
      </c>
      <c r="E3361" s="6">
        <v>350</v>
      </c>
      <c r="F3361" s="9">
        <v>0.4</v>
      </c>
      <c r="H3361" s="11"/>
      <c r="I3361" s="11"/>
      <c r="J3361" s="11"/>
    </row>
    <row r="3362" spans="1:10" ht="15.75" x14ac:dyDescent="0.3">
      <c r="A3362" s="12" t="str">
        <f>HYPERLINK("https://parts-sales.ru/parts/MAN/81907020076","81.90702-0076")</f>
        <v>81.90702-0076</v>
      </c>
      <c r="B3362" s="12" t="str">
        <f>HYPERLINK("https://parts-sales.ru/parts/MAN/81907020076","Компенсационная шайба 105X125X0,5-ST2K60")</f>
        <v>Компенсационная шайба 105X125X0,5-ST2K60</v>
      </c>
      <c r="C3362" s="3" t="s">
        <v>6</v>
      </c>
      <c r="D3362" s="4">
        <v>554.4</v>
      </c>
      <c r="E3362" s="4">
        <v>366</v>
      </c>
      <c r="F3362" s="8">
        <v>0.34</v>
      </c>
      <c r="H3362" s="11"/>
      <c r="I3362" s="11"/>
      <c r="J3362" s="11"/>
    </row>
    <row r="3363" spans="1:10" ht="15.75" x14ac:dyDescent="0.3">
      <c r="A3363" s="13" t="str">
        <f>HYPERLINK("https://parts-sales.ru/parts/MAN/81907020088","81.90702-0088")</f>
        <v>81.90702-0088</v>
      </c>
      <c r="B3363" s="13" t="str">
        <f>HYPERLINK("https://parts-sales.ru/parts/MAN/81907020088","Шайба 23X36X1-ST1203-MAN183-B1")</f>
        <v>Шайба 23X36X1-ST1203-MAN183-B1</v>
      </c>
      <c r="C3363" s="5" t="s">
        <v>6</v>
      </c>
      <c r="D3363" s="6">
        <v>622.79999999999995</v>
      </c>
      <c r="E3363" s="6">
        <v>211</v>
      </c>
      <c r="F3363" s="9">
        <v>0.66</v>
      </c>
      <c r="H3363" s="11"/>
      <c r="I3363" s="11"/>
      <c r="J3363" s="11"/>
    </row>
    <row r="3364" spans="1:10" ht="15.75" x14ac:dyDescent="0.3">
      <c r="A3364" s="12" t="str">
        <f>HYPERLINK("https://parts-sales.ru/parts/MAN/81907020135","81.90702-0135")</f>
        <v>81.90702-0135</v>
      </c>
      <c r="B3364" s="12" t="str">
        <f>HYPERLINK("https://parts-sales.ru/parts/MAN/81907020135","Компенсационная шайба 0,15")</f>
        <v>Компенсационная шайба 0,15</v>
      </c>
      <c r="C3364" s="3" t="s">
        <v>6</v>
      </c>
      <c r="D3364" s="4">
        <v>1417.2</v>
      </c>
      <c r="E3364" s="4">
        <v>449</v>
      </c>
      <c r="F3364" s="8">
        <v>0.68</v>
      </c>
      <c r="H3364" s="11"/>
      <c r="I3364" s="11"/>
      <c r="J3364" s="11"/>
    </row>
    <row r="3365" spans="1:10" ht="15.75" x14ac:dyDescent="0.3">
      <c r="A3365" s="13" t="str">
        <f>HYPERLINK("https://parts-sales.ru/parts/MAN/81907100758","81.90710-0758")</f>
        <v>81.90710-0758</v>
      </c>
      <c r="B3365" s="13" t="str">
        <f>HYPERLINK("https://parts-sales.ru/parts/MAN/81907100758","Шайба 17X35X5-QSTE340TM-GRUND")</f>
        <v>Шайба 17X35X5-QSTE340TM-GRUND</v>
      </c>
      <c r="C3365" s="5" t="s">
        <v>6</v>
      </c>
      <c r="D3365" s="6">
        <v>978</v>
      </c>
      <c r="E3365" s="6">
        <v>233</v>
      </c>
      <c r="F3365" s="9">
        <v>0.76</v>
      </c>
      <c r="H3365" s="11"/>
      <c r="I3365" s="11"/>
      <c r="J3365" s="11"/>
    </row>
    <row r="3366" spans="1:10" ht="15.75" x14ac:dyDescent="0.3">
      <c r="A3366" s="12" t="str">
        <f>HYPERLINK("https://parts-sales.ru/parts/MAN/81907102040","81.90710-2040")</f>
        <v>81.90710-2040</v>
      </c>
      <c r="B3366" s="12" t="str">
        <f>HYPERLINK("https://parts-sales.ru/parts/MAN/81907102040","Шайба 11X35X4-QSTE340N-BK")</f>
        <v>Шайба 11X35X4-QSTE340N-BK</v>
      </c>
      <c r="C3366" s="3" t="s">
        <v>6</v>
      </c>
      <c r="D3366" s="4">
        <v>962.4</v>
      </c>
      <c r="E3366" s="4">
        <v>227</v>
      </c>
      <c r="F3366" s="8">
        <v>0.76</v>
      </c>
      <c r="H3366" s="11"/>
      <c r="I3366" s="11"/>
      <c r="J3366" s="11"/>
    </row>
    <row r="3367" spans="1:10" ht="15.75" x14ac:dyDescent="0.3">
      <c r="A3367" s="13" t="str">
        <f>HYPERLINK("https://parts-sales.ru/parts/MAN/81907110545","81.90711-0545")</f>
        <v>81.90711-0545</v>
      </c>
      <c r="B3367" s="13" t="str">
        <f>HYPERLINK("https://parts-sales.ru/parts/MAN/81907110545","Установочная шайба 55X65,5X4,45-ST35E")</f>
        <v>Установочная шайба 55X65,5X4,45-ST35E</v>
      </c>
      <c r="C3367" s="5" t="s">
        <v>6</v>
      </c>
      <c r="D3367" s="6">
        <v>5157.6000000000004</v>
      </c>
      <c r="E3367" s="6">
        <v>1167</v>
      </c>
      <c r="F3367" s="9">
        <v>0.77</v>
      </c>
      <c r="H3367" s="11"/>
      <c r="I3367" s="11"/>
      <c r="J3367" s="11"/>
    </row>
    <row r="3368" spans="1:10" ht="15.75" x14ac:dyDescent="0.3">
      <c r="A3368" s="12" t="str">
        <f>HYPERLINK("https://parts-sales.ru/parts/MAN/81907110618","81.90711-0618")</f>
        <v>81.90711-0618</v>
      </c>
      <c r="B3368" s="12" t="str">
        <f>HYPERLINK("https://parts-sales.ru/parts/MAN/81907110618","Установочная шайба 55X65,5X4,75-ST35E")</f>
        <v>Установочная шайба 55X65,5X4,75-ST35E</v>
      </c>
      <c r="C3368" s="3" t="s">
        <v>6</v>
      </c>
      <c r="D3368" s="4">
        <v>5425.2</v>
      </c>
      <c r="E3368" s="4">
        <v>1564</v>
      </c>
      <c r="F3368" s="8">
        <v>0.71</v>
      </c>
      <c r="H3368" s="11"/>
      <c r="I3368" s="11"/>
      <c r="J3368" s="11"/>
    </row>
    <row r="3369" spans="1:10" ht="15.75" x14ac:dyDescent="0.3">
      <c r="A3369" s="13" t="str">
        <f>HYPERLINK("https://parts-sales.ru/parts/MAN/81907110706","81.90711-0706")</f>
        <v>81.90711-0706</v>
      </c>
      <c r="B3369" s="13" t="str">
        <f>HYPERLINK("https://parts-sales.ru/parts/MAN/81907110706","Компенсационная шайба 42,5X50X2-ST12-PAB")</f>
        <v>Компенсационная шайба 42,5X50X2-ST12-PAB</v>
      </c>
      <c r="C3369" s="5" t="s">
        <v>6</v>
      </c>
      <c r="D3369" s="6">
        <v>858</v>
      </c>
      <c r="E3369" s="6">
        <v>328</v>
      </c>
      <c r="F3369" s="9">
        <v>0.62</v>
      </c>
      <c r="H3369" s="11"/>
      <c r="I3369" s="11"/>
      <c r="J3369" s="11"/>
    </row>
    <row r="3370" spans="1:10" ht="15.75" x14ac:dyDescent="0.3">
      <c r="A3370" s="12" t="str">
        <f>HYPERLINK("https://parts-sales.ru/parts/MAN/81907110890","81.90711-0890")</f>
        <v>81.90711-0890</v>
      </c>
      <c r="B3370" s="12" t="str">
        <f>HYPERLINK("https://parts-sales.ru/parts/MAN/81907110890","Пусковая шайба 61X105X4-ST")</f>
        <v>Пусковая шайба 61X105X4-ST</v>
      </c>
      <c r="C3370" s="3" t="s">
        <v>6</v>
      </c>
      <c r="D3370" s="4">
        <v>3597.6</v>
      </c>
      <c r="E3370" s="4">
        <v>824</v>
      </c>
      <c r="F3370" s="8">
        <v>0.77</v>
      </c>
      <c r="H3370" s="11"/>
      <c r="I3370" s="11"/>
      <c r="J3370" s="11"/>
    </row>
    <row r="3371" spans="1:10" ht="15.75" x14ac:dyDescent="0.3">
      <c r="A3371" s="13" t="str">
        <f>HYPERLINK("https://parts-sales.ru/parts/MAN/81907120166","81.90712-0166")</f>
        <v>81.90712-0166</v>
      </c>
      <c r="B3371" s="13" t="str">
        <f>HYPERLINK("https://parts-sales.ru/parts/MAN/81907120166","Шайба 8,8X16X4,2-ST50-2K")</f>
        <v>Шайба 8,8X16X4,2-ST50-2K</v>
      </c>
      <c r="C3371" s="5" t="s">
        <v>6</v>
      </c>
      <c r="D3371" s="6">
        <v>528</v>
      </c>
      <c r="E3371" s="6">
        <v>4</v>
      </c>
      <c r="F3371" s="9">
        <v>0.99</v>
      </c>
      <c r="H3371" s="11"/>
      <c r="I3371" s="11"/>
      <c r="J3371" s="11"/>
    </row>
    <row r="3372" spans="1:10" ht="15.75" x14ac:dyDescent="0.3">
      <c r="A3372" s="12" t="str">
        <f>HYPERLINK("https://parts-sales.ru/parts/MAN/81907120640","81.90712-0640")</f>
        <v>81.90712-0640</v>
      </c>
      <c r="B3372" s="12" t="str">
        <f>HYPERLINK("https://parts-sales.ru/parts/MAN/81907120640","Шайба 15X36X4-ST37-MAN183-B1")</f>
        <v>Шайба 15X36X4-ST37-MAN183-B1</v>
      </c>
      <c r="C3372" s="3" t="s">
        <v>6</v>
      </c>
      <c r="D3372" s="4">
        <v>1132.8</v>
      </c>
      <c r="E3372" s="4">
        <v>230</v>
      </c>
      <c r="F3372" s="8">
        <v>0.8</v>
      </c>
      <c r="H3372" s="11"/>
      <c r="I3372" s="11"/>
      <c r="J3372" s="11"/>
    </row>
    <row r="3373" spans="1:10" ht="15.75" x14ac:dyDescent="0.3">
      <c r="A3373" s="13" t="str">
        <f>HYPERLINK("https://parts-sales.ru/parts/MAN/81907120690","81.90712-0690")</f>
        <v>81.90712-0690</v>
      </c>
      <c r="B3373" s="13" t="str">
        <f>HYPERLINK("https://parts-sales.ru/parts/MAN/81907120690","Шайба 9X25X2-PA6")</f>
        <v>Шайба 9X25X2-PA6</v>
      </c>
      <c r="C3373" s="5" t="s">
        <v>6</v>
      </c>
      <c r="D3373" s="6">
        <v>638.4</v>
      </c>
      <c r="E3373" s="6">
        <v>109</v>
      </c>
      <c r="F3373" s="9">
        <v>0.83</v>
      </c>
      <c r="H3373" s="11"/>
      <c r="I3373" s="11"/>
      <c r="J3373" s="11"/>
    </row>
    <row r="3374" spans="1:10" ht="15.75" x14ac:dyDescent="0.3">
      <c r="A3374" s="12" t="str">
        <f>HYPERLINK("https://parts-sales.ru/parts/MAN/81907120881","81.90712-0881")</f>
        <v>81.90712-0881</v>
      </c>
      <c r="B3374" s="12" t="str">
        <f>HYPERLINK("https://parts-sales.ru/parts/MAN/81907120881","Шайба 38X35XX6")</f>
        <v>Шайба 38X35XX6</v>
      </c>
      <c r="C3374" s="3" t="s">
        <v>6</v>
      </c>
      <c r="D3374" s="4">
        <v>984</v>
      </c>
      <c r="E3374" s="4">
        <v>25</v>
      </c>
      <c r="F3374" s="8">
        <v>0.97</v>
      </c>
      <c r="H3374" s="11"/>
      <c r="I3374" s="11"/>
      <c r="J3374" s="11"/>
    </row>
    <row r="3375" spans="1:10" ht="15.75" x14ac:dyDescent="0.3">
      <c r="A3375" s="13" t="str">
        <f>HYPERLINK("https://parts-sales.ru/parts/MAN/81907120884","81.90712-0884")</f>
        <v>81.90712-0884</v>
      </c>
      <c r="B3375" s="13" t="str">
        <f>HYPERLINK("https://parts-sales.ru/parts/MAN/81907120884","Шайба 8,5X22X2-GF-PA6")</f>
        <v>Шайба 8,5X22X2-GF-PA6</v>
      </c>
      <c r="C3375" s="5" t="s">
        <v>6</v>
      </c>
      <c r="D3375" s="6">
        <v>583.20000000000005</v>
      </c>
      <c r="E3375" s="6">
        <v>128</v>
      </c>
      <c r="F3375" s="9">
        <v>0.78</v>
      </c>
      <c r="H3375" s="11"/>
      <c r="I3375" s="11"/>
      <c r="J3375" s="11"/>
    </row>
    <row r="3376" spans="1:10" ht="15.75" x14ac:dyDescent="0.3">
      <c r="A3376" s="12" t="str">
        <f>HYPERLINK("https://parts-sales.ru/parts/MAN/81907120984","81.90712-0984")</f>
        <v>81.90712-0984</v>
      </c>
      <c r="B3376" s="12" t="str">
        <f>HYPERLINK("https://parts-sales.ru/parts/MAN/81907120984","Шайба 17X42X3-ST50-2-A4C")</f>
        <v>Шайба 17X42X3-ST50-2-A4C</v>
      </c>
      <c r="C3376" s="3" t="s">
        <v>6</v>
      </c>
      <c r="D3376" s="4">
        <v>1132.8</v>
      </c>
      <c r="E3376" s="4">
        <v>227</v>
      </c>
      <c r="F3376" s="8">
        <v>0.8</v>
      </c>
      <c r="H3376" s="11"/>
      <c r="I3376" s="11"/>
      <c r="J3376" s="11"/>
    </row>
    <row r="3377" spans="1:10" ht="15.75" x14ac:dyDescent="0.3">
      <c r="A3377" s="13" t="str">
        <f>HYPERLINK("https://parts-sales.ru/parts/MAN/81907130014","81.90713-0014")</f>
        <v>81.90713-0014</v>
      </c>
      <c r="B3377" s="13" t="str">
        <f>HYPERLINK("https://parts-sales.ru/parts/MAN/81907130014","Изоляционный диск 16X32X6/4-NBR80-SW")</f>
        <v>Изоляционный диск 16X32X6/4-NBR80-SW</v>
      </c>
      <c r="C3377" s="5" t="s">
        <v>6</v>
      </c>
      <c r="D3377" s="6">
        <v>1933.2</v>
      </c>
      <c r="E3377" s="6">
        <v>522</v>
      </c>
      <c r="F3377" s="9">
        <v>0.73</v>
      </c>
      <c r="H3377" s="11"/>
      <c r="I3377" s="11"/>
      <c r="J3377" s="11"/>
    </row>
    <row r="3378" spans="1:10" ht="15.75" x14ac:dyDescent="0.3">
      <c r="A3378" s="12" t="str">
        <f>HYPERLINK("https://parts-sales.ru/parts/MAN/81907130015","81.90713-0015")</f>
        <v>81.90713-0015</v>
      </c>
      <c r="B3378" s="12" t="str">
        <f>HYPERLINK("https://parts-sales.ru/parts/MAN/81907130015","Шайба")</f>
        <v>Шайба</v>
      </c>
      <c r="C3378" s="3" t="s">
        <v>6</v>
      </c>
      <c r="D3378" s="4">
        <v>1201.2</v>
      </c>
      <c r="E3378" s="4">
        <v>331</v>
      </c>
      <c r="F3378" s="8">
        <v>0.72</v>
      </c>
      <c r="H3378" s="11"/>
      <c r="I3378" s="11"/>
      <c r="J3378" s="11"/>
    </row>
    <row r="3379" spans="1:10" ht="15.75" x14ac:dyDescent="0.3">
      <c r="A3379" s="13" t="str">
        <f>HYPERLINK("https://parts-sales.ru/parts/MAN/81907130110","81.90713-0110")</f>
        <v>81.90713-0110</v>
      </c>
      <c r="B3379" s="13" t="str">
        <f>HYPERLINK("https://parts-sales.ru/parts/MAN/81907130110","Шайба 140X154,8X2,05-CK60-BK")</f>
        <v>Шайба 140X154,8X2,05-CK60-BK</v>
      </c>
      <c r="C3379" s="5" t="s">
        <v>6</v>
      </c>
      <c r="D3379" s="6">
        <v>7112.4</v>
      </c>
      <c r="E3379" s="6">
        <v>1212</v>
      </c>
      <c r="F3379" s="9">
        <v>0.83</v>
      </c>
      <c r="H3379" s="11"/>
      <c r="I3379" s="11"/>
      <c r="J3379" s="11"/>
    </row>
    <row r="3380" spans="1:10" ht="15.75" x14ac:dyDescent="0.3">
      <c r="A3380" s="12" t="str">
        <f>HYPERLINK("https://parts-sales.ru/parts/MAN/81907130114","81.90713-0114")</f>
        <v>81.90713-0114</v>
      </c>
      <c r="B3380" s="12" t="str">
        <f>HYPERLINK("https://parts-sales.ru/parts/MAN/81907130114","Шайба 140X154,8X2,25-CK60-BK")</f>
        <v>Шайба 140X154,8X2,25-CK60-BK</v>
      </c>
      <c r="C3380" s="3" t="s">
        <v>6</v>
      </c>
      <c r="D3380" s="4">
        <v>9127.2000000000007</v>
      </c>
      <c r="E3380" s="4">
        <v>1116</v>
      </c>
      <c r="F3380" s="8">
        <v>0.88</v>
      </c>
      <c r="H3380" s="11"/>
      <c r="I3380" s="11"/>
      <c r="J3380" s="11"/>
    </row>
    <row r="3381" spans="1:10" ht="15.75" x14ac:dyDescent="0.3">
      <c r="A3381" s="13" t="str">
        <f>HYPERLINK("https://parts-sales.ru/parts/MAN/81907130120","81.90713-0120")</f>
        <v>81.90713-0120</v>
      </c>
      <c r="B3381" s="13" t="str">
        <f>HYPERLINK("https://parts-sales.ru/parts/MAN/81907130120","Шайба 140X154,8X2,55-CK60-BK")</f>
        <v>Шайба 140X154,8X2,55-CK60-BK</v>
      </c>
      <c r="C3381" s="5" t="s">
        <v>6</v>
      </c>
      <c r="D3381" s="6">
        <v>6351.6</v>
      </c>
      <c r="E3381" s="6">
        <v>754</v>
      </c>
      <c r="F3381" s="9">
        <v>0.88</v>
      </c>
      <c r="H3381" s="11"/>
      <c r="I3381" s="11"/>
      <c r="J3381" s="11"/>
    </row>
    <row r="3382" spans="1:10" ht="15.75" x14ac:dyDescent="0.3">
      <c r="A3382" s="12" t="str">
        <f>HYPERLINK("https://parts-sales.ru/parts/MAN/81907130124","81.90713-0124")</f>
        <v>81.90713-0124</v>
      </c>
      <c r="B3382" s="12" t="str">
        <f>HYPERLINK("https://parts-sales.ru/parts/MAN/81907130124","Шайба 140X154,8X2,75-CK60-BK")</f>
        <v>Шайба 140X154,8X2,75-CK60-BK</v>
      </c>
      <c r="C3382" s="3" t="s">
        <v>6</v>
      </c>
      <c r="D3382" s="4">
        <v>6358.8</v>
      </c>
      <c r="E3382" s="4">
        <v>754</v>
      </c>
      <c r="F3382" s="8">
        <v>0.88</v>
      </c>
      <c r="H3382" s="11"/>
      <c r="I3382" s="11"/>
      <c r="J3382" s="11"/>
    </row>
    <row r="3383" spans="1:10" ht="15.75" x14ac:dyDescent="0.3">
      <c r="A3383" s="13" t="str">
        <f>HYPERLINK("https://parts-sales.ru/parts/MAN/81907130130","81.90713-0130")</f>
        <v>81.90713-0130</v>
      </c>
      <c r="B3383" s="13" t="str">
        <f>HYPERLINK("https://parts-sales.ru/parts/MAN/81907130130","Шайба 171,3X188X2-CK60-BK")</f>
        <v>Шайба 171,3X188X2-CK60-BK</v>
      </c>
      <c r="C3383" s="5" t="s">
        <v>6</v>
      </c>
      <c r="D3383" s="6">
        <v>14793.6</v>
      </c>
      <c r="E3383" s="6">
        <v>4168</v>
      </c>
      <c r="F3383" s="9">
        <v>0.72</v>
      </c>
      <c r="H3383" s="11"/>
      <c r="I3383" s="11"/>
      <c r="J3383" s="11"/>
    </row>
    <row r="3384" spans="1:10" ht="15.75" x14ac:dyDescent="0.3">
      <c r="A3384" s="12" t="str">
        <f>HYPERLINK("https://parts-sales.ru/parts/MAN/81907130134","81.90713-0134")</f>
        <v>81.90713-0134</v>
      </c>
      <c r="B3384" s="12" t="str">
        <f>HYPERLINK("https://parts-sales.ru/parts/MAN/81907130134","Шайба 171,3X188X2,2-CK60-BK")</f>
        <v>Шайба 171,3X188X2,2-CK60-BK</v>
      </c>
      <c r="C3384" s="3" t="s">
        <v>6</v>
      </c>
      <c r="D3384" s="4">
        <v>9670.7999999999993</v>
      </c>
      <c r="E3384" s="4">
        <v>2353</v>
      </c>
      <c r="F3384" s="8">
        <v>0.76</v>
      </c>
      <c r="H3384" s="11"/>
      <c r="I3384" s="11"/>
      <c r="J3384" s="11"/>
    </row>
    <row r="3385" spans="1:10" ht="15.75" x14ac:dyDescent="0.3">
      <c r="A3385" s="13" t="str">
        <f>HYPERLINK("https://parts-sales.ru/parts/MAN/81907130136","81.90713-0136")</f>
        <v>81.90713-0136</v>
      </c>
      <c r="B3385" s="13" t="str">
        <f>HYPERLINK("https://parts-sales.ru/parts/MAN/81907130136","Шайба 171,3X188X2,3-CK60-BK")</f>
        <v>Шайба 171,3X188X2,3-CK60-BK</v>
      </c>
      <c r="C3385" s="5" t="s">
        <v>6</v>
      </c>
      <c r="D3385" s="6">
        <v>11199.6</v>
      </c>
      <c r="E3385" s="6">
        <v>3361</v>
      </c>
      <c r="F3385" s="9">
        <v>0.7</v>
      </c>
      <c r="H3385" s="11"/>
      <c r="I3385" s="11"/>
      <c r="J3385" s="11"/>
    </row>
    <row r="3386" spans="1:10" ht="15.75" x14ac:dyDescent="0.3">
      <c r="A3386" s="12" t="str">
        <f>HYPERLINK("https://parts-sales.ru/parts/MAN/81907130138","81.90713-0138")</f>
        <v>81.90713-0138</v>
      </c>
      <c r="B3386" s="12" t="str">
        <f>HYPERLINK("https://parts-sales.ru/parts/MAN/81907130138","Шайба 171,3X188X2,4-CK60-BK")</f>
        <v>Шайба 171,3X188X2,4-CK60-BK</v>
      </c>
      <c r="C3386" s="3" t="s">
        <v>6</v>
      </c>
      <c r="D3386" s="4">
        <v>15202.8</v>
      </c>
      <c r="E3386" s="4">
        <v>3702</v>
      </c>
      <c r="F3386" s="8">
        <v>0.76</v>
      </c>
      <c r="H3386" s="11"/>
      <c r="I3386" s="11"/>
      <c r="J3386" s="11"/>
    </row>
    <row r="3387" spans="1:10" ht="15.75" x14ac:dyDescent="0.3">
      <c r="A3387" s="13" t="str">
        <f>HYPERLINK("https://parts-sales.ru/parts/MAN/81907130144","81.90713-0144")</f>
        <v>81.90713-0144</v>
      </c>
      <c r="B3387" s="13" t="str">
        <f>HYPERLINK("https://parts-sales.ru/parts/MAN/81907130144","Шайба 171,3X188X2,7-CK60-BK")</f>
        <v>Шайба 171,3X188X2,7-CK60-BK</v>
      </c>
      <c r="C3387" s="5" t="s">
        <v>6</v>
      </c>
      <c r="D3387" s="6">
        <v>12931.2</v>
      </c>
      <c r="E3387" s="6">
        <v>2606</v>
      </c>
      <c r="F3387" s="9">
        <v>0.8</v>
      </c>
      <c r="H3387" s="11"/>
      <c r="I3387" s="11"/>
      <c r="J3387" s="11"/>
    </row>
    <row r="3388" spans="1:10" ht="15.75" x14ac:dyDescent="0.3">
      <c r="A3388" s="12" t="str">
        <f>HYPERLINK("https://parts-sales.ru/parts/MAN/81907130146","81.90713-0146")</f>
        <v>81.90713-0146</v>
      </c>
      <c r="B3388" s="12" t="str">
        <f>HYPERLINK("https://parts-sales.ru/parts/MAN/81907130146","Шайба 171,3X188X2,8-CK60-BK")</f>
        <v>Шайба 171,3X188X2,8-CK60-BK</v>
      </c>
      <c r="C3388" s="3" t="s">
        <v>6</v>
      </c>
      <c r="D3388" s="4">
        <v>16664.400000000001</v>
      </c>
      <c r="E3388" s="4">
        <v>3341</v>
      </c>
      <c r="F3388" s="8">
        <v>0.8</v>
      </c>
      <c r="H3388" s="11"/>
      <c r="I3388" s="11"/>
      <c r="J3388" s="11"/>
    </row>
    <row r="3389" spans="1:10" ht="15.75" x14ac:dyDescent="0.3">
      <c r="A3389" s="13" t="str">
        <f>HYPERLINK("https://parts-sales.ru/parts/MAN/81907130148","81.90713-0148")</f>
        <v>81.90713-0148</v>
      </c>
      <c r="B3389" s="13" t="str">
        <f>HYPERLINK("https://parts-sales.ru/parts/MAN/81907130148","Шайба 171,3X188X2,9-CK60-BK")</f>
        <v>Шайба 171,3X188X2,9-CK60-BK</v>
      </c>
      <c r="C3389" s="5" t="s">
        <v>6</v>
      </c>
      <c r="D3389" s="6">
        <v>9433.2000000000007</v>
      </c>
      <c r="E3389" s="6">
        <v>2941</v>
      </c>
      <c r="F3389" s="9">
        <v>0.69</v>
      </c>
      <c r="H3389" s="11"/>
      <c r="I3389" s="11"/>
      <c r="J3389" s="11"/>
    </row>
    <row r="3390" spans="1:10" ht="15.75" x14ac:dyDescent="0.3">
      <c r="A3390" s="12" t="str">
        <f>HYPERLINK("https://parts-sales.ru/parts/MAN/81907130243","81.90713-0243")</f>
        <v>81.90713-0243</v>
      </c>
      <c r="B3390" s="12" t="str">
        <f>HYPERLINK("https://parts-sales.ru/parts/MAN/81907130243","Распорная шайба")</f>
        <v>Распорная шайба</v>
      </c>
      <c r="C3390" s="3" t="s">
        <v>6</v>
      </c>
      <c r="D3390" s="4">
        <v>537.6</v>
      </c>
      <c r="E3390" s="4">
        <v>155</v>
      </c>
      <c r="F3390" s="8">
        <v>0.71</v>
      </c>
      <c r="H3390" s="11"/>
      <c r="I3390" s="11"/>
      <c r="J3390" s="11"/>
    </row>
    <row r="3391" spans="1:10" ht="15.75" x14ac:dyDescent="0.3">
      <c r="A3391" s="13" t="str">
        <f>HYPERLINK("https://parts-sales.ru/parts/MAN/81907130436","81.90713-0436")</f>
        <v>81.90713-0436</v>
      </c>
      <c r="B3391" s="13" t="str">
        <f>HYPERLINK("https://parts-sales.ru/parts/MAN/81907130436","Компенсационная шайба 80,1X110X2,8-CK60")</f>
        <v>Компенсационная шайба 80,1X110X2,8-CK60</v>
      </c>
      <c r="C3391" s="5" t="s">
        <v>6</v>
      </c>
      <c r="D3391" s="6">
        <v>5428.8</v>
      </c>
      <c r="E3391" s="6">
        <v>1444</v>
      </c>
      <c r="F3391" s="9">
        <v>0.73</v>
      </c>
      <c r="H3391" s="11"/>
      <c r="I3391" s="11"/>
      <c r="J3391" s="11"/>
    </row>
    <row r="3392" spans="1:10" ht="15.75" x14ac:dyDescent="0.3">
      <c r="A3392" s="12" t="str">
        <f>HYPERLINK("https://parts-sales.ru/parts/MAN/81907130511","81.90713-0511")</f>
        <v>81.90713-0511</v>
      </c>
      <c r="B3392" s="12" t="str">
        <f>HYPERLINK("https://parts-sales.ru/parts/MAN/81907130511","Шайба 66H7X85F7X3,3-SINT-D10")</f>
        <v>Шайба 66H7X85F7X3,3-SINT-D10</v>
      </c>
      <c r="C3392" s="3" t="s">
        <v>6</v>
      </c>
      <c r="D3392" s="4">
        <v>2132.4</v>
      </c>
      <c r="E3392" s="4">
        <v>804</v>
      </c>
      <c r="F3392" s="8">
        <v>0.62</v>
      </c>
      <c r="H3392" s="11"/>
      <c r="I3392" s="11"/>
      <c r="J3392" s="11"/>
    </row>
    <row r="3393" spans="1:10" ht="15.75" x14ac:dyDescent="0.3">
      <c r="A3393" s="13" t="str">
        <f>HYPERLINK("https://parts-sales.ru/parts/MAN/81907130576","81.90713-0576")</f>
        <v>81.90713-0576</v>
      </c>
      <c r="B3393" s="13" t="str">
        <f>HYPERLINK("https://parts-sales.ru/parts/MAN/81907130576","Шайба 114X129,8X2,7-CK60-BK")</f>
        <v>Шайба 114X129,8X2,7-CK60-BK</v>
      </c>
      <c r="C3393" s="5" t="s">
        <v>6</v>
      </c>
      <c r="D3393" s="6">
        <v>4990.8</v>
      </c>
      <c r="E3393" s="6">
        <v>1009</v>
      </c>
      <c r="F3393" s="9">
        <v>0.8</v>
      </c>
      <c r="H3393" s="11"/>
      <c r="I3393" s="11"/>
      <c r="J3393" s="11"/>
    </row>
    <row r="3394" spans="1:10" ht="15.75" x14ac:dyDescent="0.3">
      <c r="A3394" s="12" t="str">
        <f>HYPERLINK("https://parts-sales.ru/parts/MAN/81907130579","81.90713-0579")</f>
        <v>81.90713-0579</v>
      </c>
      <c r="B3394" s="12" t="str">
        <f>HYPERLINK("https://parts-sales.ru/parts/MAN/81907130579","Шайба 114X129,8X2,85-CK60-BK")</f>
        <v>Шайба 114X129,8X2,85-CK60-BK</v>
      </c>
      <c r="C3394" s="3" t="s">
        <v>6</v>
      </c>
      <c r="D3394" s="4">
        <v>4310.3999999999996</v>
      </c>
      <c r="E3394" s="4">
        <v>1123</v>
      </c>
      <c r="F3394" s="8">
        <v>0.74</v>
      </c>
      <c r="H3394" s="11"/>
      <c r="I3394" s="11"/>
      <c r="J3394" s="11"/>
    </row>
    <row r="3395" spans="1:10" ht="15.75" x14ac:dyDescent="0.3">
      <c r="A3395" s="13" t="str">
        <f>HYPERLINK("https://parts-sales.ru/parts/MAN/81907130582","81.90713-0582")</f>
        <v>81.90713-0582</v>
      </c>
      <c r="B3395" s="13" t="str">
        <f>HYPERLINK("https://parts-sales.ru/parts/MAN/81907130582","Шайба 114X129,8X3-CK60-BK")</f>
        <v>Шайба 114X129,8X3-CK60-BK</v>
      </c>
      <c r="C3395" s="5" t="s">
        <v>6</v>
      </c>
      <c r="D3395" s="6">
        <v>5265.6</v>
      </c>
      <c r="E3395" s="6">
        <v>1045</v>
      </c>
      <c r="F3395" s="9">
        <v>0.8</v>
      </c>
      <c r="H3395" s="11"/>
      <c r="I3395" s="11"/>
      <c r="J3395" s="11"/>
    </row>
    <row r="3396" spans="1:10" ht="15.75" x14ac:dyDescent="0.3">
      <c r="A3396" s="12" t="str">
        <f>HYPERLINK("https://parts-sales.ru/parts/MAN/81907130595","81.90713-0595")</f>
        <v>81.90713-0595</v>
      </c>
      <c r="B3396" s="12" t="str">
        <f>HYPERLINK("https://parts-sales.ru/parts/MAN/81907130595","Шайба 140X154,8X3,5-CK60-BK")</f>
        <v>Шайба 140X154,8X3,5-CK60-BK</v>
      </c>
      <c r="C3396" s="3" t="s">
        <v>6</v>
      </c>
      <c r="D3396" s="4">
        <v>18864</v>
      </c>
      <c r="E3396" s="4">
        <v>3867</v>
      </c>
      <c r="F3396" s="8">
        <v>0.8</v>
      </c>
      <c r="H3396" s="11"/>
      <c r="I3396" s="11"/>
      <c r="J3396" s="11"/>
    </row>
    <row r="3397" spans="1:10" ht="15.75" x14ac:dyDescent="0.3">
      <c r="A3397" s="13" t="str">
        <f>HYPERLINK("https://parts-sales.ru/parts/MAN/81907130663","81.90713-0663")</f>
        <v>81.90713-0663</v>
      </c>
      <c r="B3397" s="13" t="str">
        <f>HYPERLINK("https://parts-sales.ru/parts/MAN/81907130663","Кольцо 18,2X24X2-AL99F10-E0")</f>
        <v>Кольцо 18,2X24X2-AL99F10-E0</v>
      </c>
      <c r="C3397" s="5" t="s">
        <v>6</v>
      </c>
      <c r="D3397" s="6">
        <v>2340</v>
      </c>
      <c r="E3397" s="6">
        <v>371</v>
      </c>
      <c r="F3397" s="9">
        <v>0.84</v>
      </c>
      <c r="H3397" s="11"/>
      <c r="I3397" s="11"/>
      <c r="J3397" s="11"/>
    </row>
    <row r="3398" spans="1:10" ht="15.75" x14ac:dyDescent="0.3">
      <c r="A3398" s="12" t="str">
        <f>HYPERLINK("https://parts-sales.ru/parts/MAN/81907130692","81.90713-0692")</f>
        <v>81.90713-0692</v>
      </c>
      <c r="B3398" s="12" t="str">
        <f>HYPERLINK("https://parts-sales.ru/parts/MAN/81907130692","Шайба 11X30X5-ST37-2")</f>
        <v>Шайба 11X30X5-ST37-2</v>
      </c>
      <c r="C3398" s="3" t="s">
        <v>6</v>
      </c>
      <c r="D3398" s="4">
        <v>1114.8</v>
      </c>
      <c r="E3398" s="4">
        <v>157</v>
      </c>
      <c r="F3398" s="8">
        <v>0.86</v>
      </c>
      <c r="H3398" s="11"/>
      <c r="I3398" s="11"/>
      <c r="J3398" s="11"/>
    </row>
    <row r="3399" spans="1:10" ht="15.75" x14ac:dyDescent="0.3">
      <c r="A3399" s="13" t="str">
        <f>HYPERLINK("https://parts-sales.ru/parts/MAN/81907130743","81.90713-0743")</f>
        <v>81.90713-0743</v>
      </c>
      <c r="B3399" s="13" t="str">
        <f>HYPERLINK("https://parts-sales.ru/parts/MAN/81907130743","Шайба 12,2X20X2-FST")</f>
        <v>Шайба 12,2X20X2-FST</v>
      </c>
      <c r="C3399" s="5" t="s">
        <v>6</v>
      </c>
      <c r="D3399" s="6">
        <v>433.2</v>
      </c>
      <c r="E3399" s="6">
        <v>91</v>
      </c>
      <c r="F3399" s="9">
        <v>0.79</v>
      </c>
      <c r="H3399" s="11"/>
      <c r="I3399" s="11"/>
      <c r="J3399" s="11"/>
    </row>
    <row r="3400" spans="1:10" ht="15.75" x14ac:dyDescent="0.3">
      <c r="A3400" s="12" t="str">
        <f>HYPERLINK("https://parts-sales.ru/parts/MAN/81907130747","81.90713-0747")</f>
        <v>81.90713-0747</v>
      </c>
      <c r="B3400" s="12" t="str">
        <f>HYPERLINK("https://parts-sales.ru/parts/MAN/81907130747","Шайба 114X129,8X3,2-CK60-BK")</f>
        <v>Шайба 114X129,8X3,2-CK60-BK</v>
      </c>
      <c r="C3400" s="3" t="s">
        <v>6</v>
      </c>
      <c r="D3400" s="4">
        <v>4401.6000000000004</v>
      </c>
      <c r="E3400" s="4">
        <v>924</v>
      </c>
      <c r="F3400" s="8">
        <v>0.79</v>
      </c>
      <c r="H3400" s="11"/>
      <c r="I3400" s="11"/>
      <c r="J3400" s="11"/>
    </row>
    <row r="3401" spans="1:10" ht="15.75" x14ac:dyDescent="0.3">
      <c r="A3401" s="13" t="str">
        <f>HYPERLINK("https://parts-sales.ru/parts/MAN/81907130809","81.90713-0809")</f>
        <v>81.90713-0809</v>
      </c>
      <c r="B3401" s="13" t="str">
        <f>HYPERLINK("https://parts-sales.ru/parts/MAN/81907130809","Распорная шайба 18,1X5-ST-MAN183-B1")</f>
        <v>Распорная шайба 18,1X5-ST-MAN183-B1</v>
      </c>
      <c r="C3401" s="5" t="s">
        <v>6</v>
      </c>
      <c r="D3401" s="6">
        <v>2172</v>
      </c>
      <c r="E3401" s="6">
        <v>334</v>
      </c>
      <c r="F3401" s="9">
        <v>0.85</v>
      </c>
      <c r="H3401" s="11"/>
      <c r="I3401" s="11"/>
      <c r="J3401" s="11"/>
    </row>
    <row r="3402" spans="1:10" ht="15.75" x14ac:dyDescent="0.3">
      <c r="A3402" s="12" t="str">
        <f>HYPERLINK("https://parts-sales.ru/parts/MAN/81907130909","81.90713-0909")</f>
        <v>81.90713-0909</v>
      </c>
      <c r="B3402" s="12" t="str">
        <f>HYPERLINK("https://parts-sales.ru/parts/MAN/81907130909","Компенсационная шайба 33X65X6-ST/GI")</f>
        <v>Компенсационная шайба 33X65X6-ST/GI</v>
      </c>
      <c r="C3402" s="3" t="s">
        <v>6</v>
      </c>
      <c r="D3402" s="4">
        <v>2654.4</v>
      </c>
      <c r="E3402" s="4">
        <v>616</v>
      </c>
      <c r="F3402" s="8">
        <v>0.77</v>
      </c>
      <c r="H3402" s="11"/>
      <c r="I3402" s="11"/>
      <c r="J3402" s="11"/>
    </row>
    <row r="3403" spans="1:10" ht="15.75" x14ac:dyDescent="0.3">
      <c r="A3403" s="13" t="str">
        <f>HYPERLINK("https://parts-sales.ru/parts/MAN/81907130915","81.90713-0915")</f>
        <v>81.90713-0915</v>
      </c>
      <c r="B3403" s="13" t="str">
        <f>HYPERLINK("https://parts-sales.ru/parts/MAN/81907130915","Установочная шайба 10,5X20X3-PA6.6GF30")</f>
        <v>Установочная шайба 10,5X20X3-PA6.6GF30</v>
      </c>
      <c r="C3403" s="5" t="s">
        <v>6</v>
      </c>
      <c r="D3403" s="6">
        <v>528</v>
      </c>
      <c r="E3403" s="6">
        <v>123</v>
      </c>
      <c r="F3403" s="9">
        <v>0.77</v>
      </c>
      <c r="H3403" s="11"/>
      <c r="I3403" s="11"/>
      <c r="J3403" s="11"/>
    </row>
    <row r="3404" spans="1:10" ht="15.75" x14ac:dyDescent="0.3">
      <c r="A3404" s="12" t="str">
        <f>HYPERLINK("https://parts-sales.ru/parts/MAN/81907130986","81.90713-0986")</f>
        <v>81.90713-0986</v>
      </c>
      <c r="B3404" s="12" t="str">
        <f>HYPERLINK("https://parts-sales.ru/parts/MAN/81907130986","Шайба 35,1X47X2,3-C45E")</f>
        <v>Шайба 35,1X47X2,3-C45E</v>
      </c>
      <c r="C3404" s="3" t="s">
        <v>6</v>
      </c>
      <c r="D3404" s="4">
        <v>1332</v>
      </c>
      <c r="E3404" s="4">
        <v>549</v>
      </c>
      <c r="F3404" s="8">
        <v>0.59</v>
      </c>
      <c r="H3404" s="11"/>
      <c r="I3404" s="11"/>
      <c r="J3404" s="11"/>
    </row>
    <row r="3405" spans="1:10" ht="15.75" x14ac:dyDescent="0.3">
      <c r="A3405" s="13" t="str">
        <f>HYPERLINK("https://parts-sales.ru/parts/MAN/81907130989","81.90713-0989")</f>
        <v>81.90713-0989</v>
      </c>
      <c r="B3405" s="13" t="str">
        <f>HYPERLINK("https://parts-sales.ru/parts/MAN/81907130989","Опорная шайба 1,55MM")</f>
        <v>Опорная шайба 1,55MM</v>
      </c>
      <c r="C3405" s="5" t="s">
        <v>6</v>
      </c>
      <c r="D3405" s="6">
        <v>420</v>
      </c>
      <c r="E3405" s="6">
        <v>96</v>
      </c>
      <c r="F3405" s="9">
        <v>0.77</v>
      </c>
      <c r="H3405" s="11"/>
      <c r="I3405" s="11"/>
      <c r="J3405" s="11"/>
    </row>
    <row r="3406" spans="1:10" ht="15.75" x14ac:dyDescent="0.3">
      <c r="A3406" s="12" t="str">
        <f>HYPERLINK("https://parts-sales.ru/parts/MAN/81907140147","81.90714-0147")</f>
        <v>81.90714-0147</v>
      </c>
      <c r="B3406" s="12" t="str">
        <f>HYPERLINK("https://parts-sales.ru/parts/MAN/81907140147","Шайба 35,1X47X7,9-C45E")</f>
        <v>Шайба 35,1X47X7,9-C45E</v>
      </c>
      <c r="C3406" s="3" t="s">
        <v>6</v>
      </c>
      <c r="D3406" s="4">
        <v>1668</v>
      </c>
      <c r="E3406" s="4">
        <v>399</v>
      </c>
      <c r="F3406" s="8">
        <v>0.76</v>
      </c>
      <c r="H3406" s="11"/>
      <c r="I3406" s="11"/>
      <c r="J3406" s="11"/>
    </row>
    <row r="3407" spans="1:10" ht="15.75" x14ac:dyDescent="0.3">
      <c r="A3407" s="13" t="str">
        <f>HYPERLINK("https://parts-sales.ru/parts/MAN/81907140150","81.90714-0150")</f>
        <v>81.90714-0150</v>
      </c>
      <c r="B3407" s="13" t="str">
        <f>HYPERLINK("https://parts-sales.ru/parts/MAN/81907140150","Шайба 12,5X28X5-ST50-2-A3C")</f>
        <v>Шайба 12,5X28X5-ST50-2-A3C</v>
      </c>
      <c r="C3407" s="5" t="s">
        <v>6</v>
      </c>
      <c r="D3407" s="6">
        <v>957.6</v>
      </c>
      <c r="E3407" s="6">
        <v>4</v>
      </c>
      <c r="F3407" s="9">
        <v>1</v>
      </c>
      <c r="H3407" s="11"/>
      <c r="I3407" s="11"/>
      <c r="J3407" s="11"/>
    </row>
    <row r="3408" spans="1:10" ht="15.75" x14ac:dyDescent="0.3">
      <c r="A3408" s="12" t="str">
        <f>HYPERLINK("https://parts-sales.ru/parts/MAN/81907140174","81.90714-0174")</f>
        <v>81.90714-0174</v>
      </c>
      <c r="B3408" s="12" t="str">
        <f>HYPERLINK("https://parts-sales.ru/parts/MAN/81907140174","Шайба 3,00 MM")</f>
        <v>Шайба 3,00 MM</v>
      </c>
      <c r="C3408" s="3" t="s">
        <v>6</v>
      </c>
      <c r="D3408" s="4">
        <v>13285.2</v>
      </c>
      <c r="E3408" s="4">
        <v>3177</v>
      </c>
      <c r="F3408" s="8">
        <v>0.76</v>
      </c>
      <c r="H3408" s="11"/>
      <c r="I3408" s="11"/>
      <c r="J3408" s="11"/>
    </row>
    <row r="3409" spans="1:10" ht="15.75" x14ac:dyDescent="0.3">
      <c r="A3409" s="13" t="str">
        <f>HYPERLINK("https://parts-sales.ru/parts/MAN/81907140338","81.90714-0338")</f>
        <v>81.90714-0338</v>
      </c>
      <c r="B3409" s="13" t="str">
        <f>HYPERLINK("https://parts-sales.ru/parts/MAN/81907140338","Шайба 15X35X8-ST35-MAN183-B1")</f>
        <v>Шайба 15X35X8-ST35-MAN183-B1</v>
      </c>
      <c r="C3409" s="5" t="s">
        <v>6</v>
      </c>
      <c r="D3409" s="6">
        <v>1138.8</v>
      </c>
      <c r="E3409" s="6">
        <v>91</v>
      </c>
      <c r="F3409" s="9">
        <v>0.92</v>
      </c>
      <c r="H3409" s="11"/>
      <c r="I3409" s="11"/>
      <c r="J3409" s="11"/>
    </row>
    <row r="3410" spans="1:10" ht="15.75" x14ac:dyDescent="0.3">
      <c r="A3410" s="12" t="str">
        <f>HYPERLINK("https://parts-sales.ru/parts/MAN/81907140377","81.90714-0377")</f>
        <v>81.90714-0377</v>
      </c>
      <c r="B3410" s="12" t="str">
        <f>HYPERLINK("https://parts-sales.ru/parts/MAN/81907140377","Уплотнение")</f>
        <v>Уплотнение</v>
      </c>
      <c r="C3410" s="3" t="s">
        <v>6</v>
      </c>
      <c r="D3410" s="4">
        <v>312</v>
      </c>
      <c r="E3410" s="4">
        <v>4</v>
      </c>
      <c r="F3410" s="8">
        <v>0.99</v>
      </c>
      <c r="H3410" s="11"/>
      <c r="I3410" s="11"/>
      <c r="J3410" s="11"/>
    </row>
    <row r="3411" spans="1:10" ht="15.75" x14ac:dyDescent="0.3">
      <c r="A3411" s="13" t="str">
        <f>HYPERLINK("https://parts-sales.ru/parts/MAN/81907140430","81.90714-0430")</f>
        <v>81.90714-0430</v>
      </c>
      <c r="B3411" s="13" t="str">
        <f>HYPERLINK("https://parts-sales.ru/parts/MAN/81907140430","Шайба 13X30X2-ST2-K20-MAN183-B4")</f>
        <v>Шайба 13X30X2-ST2-K20-MAN183-B4</v>
      </c>
      <c r="C3411" s="5" t="s">
        <v>6</v>
      </c>
      <c r="D3411" s="6">
        <v>483.6</v>
      </c>
      <c r="E3411" s="6">
        <v>3</v>
      </c>
      <c r="F3411" s="9">
        <v>0.99</v>
      </c>
      <c r="H3411" s="11"/>
      <c r="I3411" s="11"/>
      <c r="J3411" s="11"/>
    </row>
    <row r="3412" spans="1:10" ht="15.75" x14ac:dyDescent="0.3">
      <c r="A3412" s="12" t="str">
        <f>HYPERLINK("https://parts-sales.ru/parts/MAN/81907140471","81.90714-0471")</f>
        <v>81.90714-0471</v>
      </c>
      <c r="B3412" s="12" t="str">
        <f>HYPERLINK("https://parts-sales.ru/parts/MAN/81907140471","Шайба 44,1X67X5,25-ST")</f>
        <v>Шайба 44,1X67X5,25-ST</v>
      </c>
      <c r="C3412" s="3" t="s">
        <v>6</v>
      </c>
      <c r="D3412" s="4">
        <v>4322.3999999999996</v>
      </c>
      <c r="E3412" s="4">
        <v>973</v>
      </c>
      <c r="F3412" s="8">
        <v>0.77</v>
      </c>
      <c r="H3412" s="11"/>
      <c r="I3412" s="11"/>
      <c r="J3412" s="11"/>
    </row>
    <row r="3413" spans="1:10" ht="15.75" x14ac:dyDescent="0.3">
      <c r="A3413" s="13" t="str">
        <f>HYPERLINK("https://parts-sales.ru/parts/MAN/81907140494","81.90714-0494")</f>
        <v>81.90714-0494</v>
      </c>
      <c r="B3413" s="13" t="str">
        <f>HYPERLINK("https://parts-sales.ru/parts/MAN/81907140494","Шайба 58,2X90X4-16MNCR5E")</f>
        <v>Шайба 58,2X90X4-16MNCR5E</v>
      </c>
      <c r="C3413" s="5" t="s">
        <v>6</v>
      </c>
      <c r="D3413" s="6">
        <v>8136</v>
      </c>
      <c r="E3413" s="6">
        <v>3721</v>
      </c>
      <c r="F3413" s="9">
        <v>0.54</v>
      </c>
      <c r="H3413" s="11"/>
      <c r="I3413" s="11"/>
      <c r="J3413" s="11"/>
    </row>
    <row r="3414" spans="1:10" ht="15.75" x14ac:dyDescent="0.3">
      <c r="A3414" s="12" t="str">
        <f>HYPERLINK("https://parts-sales.ru/parts/MAN/81907140581","81.90714-0581")</f>
        <v>81.90714-0581</v>
      </c>
      <c r="B3414" s="12" t="str">
        <f>HYPERLINK("https://parts-sales.ru/parts/MAN/81907140581","Шайба 15X35X7,5-9SMNPB28K-MAN183-B1")</f>
        <v>Шайба 15X35X7,5-9SMNPB28K-MAN183-B1</v>
      </c>
      <c r="C3414" s="3" t="s">
        <v>6</v>
      </c>
      <c r="D3414" s="4">
        <v>70.3</v>
      </c>
      <c r="E3414" s="4">
        <v>42</v>
      </c>
      <c r="F3414" s="8">
        <v>0.4</v>
      </c>
      <c r="H3414" s="11"/>
      <c r="I3414" s="11"/>
      <c r="J3414" s="11"/>
    </row>
    <row r="3415" spans="1:10" ht="15.75" x14ac:dyDescent="0.3">
      <c r="A3415" s="13" t="str">
        <f>HYPERLINK("https://parts-sales.ru/parts/MAN/81907140647","81.90714-0647")</f>
        <v>81.90714-0647</v>
      </c>
      <c r="B3415" s="13" t="str">
        <f>HYPERLINK("https://parts-sales.ru/parts/MAN/81907140647","Шайба")</f>
        <v>Шайба</v>
      </c>
      <c r="C3415" s="5" t="s">
        <v>6</v>
      </c>
      <c r="D3415" s="6">
        <v>354</v>
      </c>
      <c r="E3415" s="6">
        <v>10</v>
      </c>
      <c r="F3415" s="9">
        <v>0.97</v>
      </c>
      <c r="H3415" s="11"/>
      <c r="I3415" s="11"/>
      <c r="J3415" s="11"/>
    </row>
    <row r="3416" spans="1:10" ht="15.75" x14ac:dyDescent="0.3">
      <c r="A3416" s="12" t="str">
        <f>HYPERLINK("https://parts-sales.ru/parts/MAN/81907140742","81.90714-0742")</f>
        <v>81.90714-0742</v>
      </c>
      <c r="B3416" s="12" t="str">
        <f>HYPERLINK("https://parts-sales.ru/parts/MAN/81907140742","Шайба 13X23X39X6-ST50-MAN183-B1")</f>
        <v>Шайба 13X23X39X6-ST50-MAN183-B1</v>
      </c>
      <c r="C3416" s="3" t="s">
        <v>6</v>
      </c>
      <c r="D3416" s="4">
        <v>1104</v>
      </c>
      <c r="E3416" s="4">
        <v>154</v>
      </c>
      <c r="F3416" s="8">
        <v>0.86</v>
      </c>
      <c r="H3416" s="11"/>
      <c r="I3416" s="11"/>
      <c r="J3416" s="11"/>
    </row>
    <row r="3417" spans="1:10" ht="15.75" x14ac:dyDescent="0.3">
      <c r="A3417" s="13" t="str">
        <f>HYPERLINK("https://parts-sales.ru/parts/MAN/81907140753","81.90714-0753")</f>
        <v>81.90714-0753</v>
      </c>
      <c r="B3417" s="13" t="str">
        <f>HYPERLINK("https://parts-sales.ru/parts/MAN/81907140753","Компенсационная шайба 53,7X86X1,8-X5CRNI")</f>
        <v>Компенсационная шайба 53,7X86X1,8-X5CRNI</v>
      </c>
      <c r="C3417" s="5" t="s">
        <v>6</v>
      </c>
      <c r="D3417" s="6">
        <v>2554.8000000000002</v>
      </c>
      <c r="E3417" s="6">
        <v>409</v>
      </c>
      <c r="F3417" s="9">
        <v>0.84</v>
      </c>
      <c r="H3417" s="11"/>
      <c r="I3417" s="11"/>
      <c r="J3417" s="11"/>
    </row>
    <row r="3418" spans="1:10" ht="15.75" x14ac:dyDescent="0.3">
      <c r="A3418" s="12" t="str">
        <f>HYPERLINK("https://parts-sales.ru/parts/MAN/81907140754","81.90714-0754")</f>
        <v>81.90714-0754</v>
      </c>
      <c r="B3418" s="12" t="str">
        <f>HYPERLINK("https://parts-sales.ru/parts/MAN/81907140754","Компенсационная шайба 53,7X86X1,9-X5CRNI")</f>
        <v>Компенсационная шайба 53,7X86X1,9-X5CRNI</v>
      </c>
      <c r="C3418" s="3" t="s">
        <v>6</v>
      </c>
      <c r="D3418" s="4">
        <v>2468.4</v>
      </c>
      <c r="E3418" s="4">
        <v>397</v>
      </c>
      <c r="F3418" s="8">
        <v>0.84</v>
      </c>
      <c r="H3418" s="11"/>
      <c r="I3418" s="11"/>
      <c r="J3418" s="11"/>
    </row>
    <row r="3419" spans="1:10" ht="15.75" x14ac:dyDescent="0.3">
      <c r="A3419" s="13" t="str">
        <f>HYPERLINK("https://parts-sales.ru/parts/MAN/81907140755","81.90714-0755")</f>
        <v>81.90714-0755</v>
      </c>
      <c r="B3419" s="13" t="str">
        <f>HYPERLINK("https://parts-sales.ru/parts/MAN/81907140755","Компенсационная шайба 53,7X86X2,0-X5CRNI")</f>
        <v>Компенсационная шайба 53,7X86X2,0-X5CRNI</v>
      </c>
      <c r="C3419" s="5" t="s">
        <v>6</v>
      </c>
      <c r="D3419" s="6">
        <v>2395.1999999999998</v>
      </c>
      <c r="E3419" s="6">
        <v>382</v>
      </c>
      <c r="F3419" s="9">
        <v>0.84</v>
      </c>
      <c r="H3419" s="11"/>
      <c r="I3419" s="11"/>
      <c r="J3419" s="11"/>
    </row>
    <row r="3420" spans="1:10" ht="15.75" x14ac:dyDescent="0.3">
      <c r="A3420" s="12" t="str">
        <f>HYPERLINK("https://parts-sales.ru/parts/MAN/81907140756","81.90714-0756")</f>
        <v>81.90714-0756</v>
      </c>
      <c r="B3420" s="12" t="str">
        <f>HYPERLINK("https://parts-sales.ru/parts/MAN/81907140756","Компенсационная шайба 53,7X86X2,1-X5CRNI")</f>
        <v>Компенсационная шайба 53,7X86X2,1-X5CRNI</v>
      </c>
      <c r="C3420" s="3" t="s">
        <v>6</v>
      </c>
      <c r="D3420" s="4">
        <v>2452.8000000000002</v>
      </c>
      <c r="E3420" s="4">
        <v>394</v>
      </c>
      <c r="F3420" s="8">
        <v>0.84</v>
      </c>
      <c r="H3420" s="11"/>
      <c r="I3420" s="11"/>
      <c r="J3420" s="11"/>
    </row>
    <row r="3421" spans="1:10" ht="15.75" x14ac:dyDescent="0.3">
      <c r="A3421" s="13" t="str">
        <f>HYPERLINK("https://parts-sales.ru/parts/MAN/81907140757","81.90714-0757")</f>
        <v>81.90714-0757</v>
      </c>
      <c r="B3421" s="13" t="str">
        <f>HYPERLINK("https://parts-sales.ru/parts/MAN/81907140757","Компенсационная шайба 53,7X86X2,2-X5CRNI")</f>
        <v>Компенсационная шайба 53,7X86X2,2-X5CRNI</v>
      </c>
      <c r="C3421" s="5" t="s">
        <v>6</v>
      </c>
      <c r="D3421" s="6">
        <v>2492.4</v>
      </c>
      <c r="E3421" s="6">
        <v>400</v>
      </c>
      <c r="F3421" s="9">
        <v>0.84</v>
      </c>
      <c r="H3421" s="11"/>
      <c r="I3421" s="11"/>
      <c r="J3421" s="11"/>
    </row>
    <row r="3422" spans="1:10" ht="15.75" x14ac:dyDescent="0.3">
      <c r="A3422" s="12" t="str">
        <f>HYPERLINK("https://parts-sales.ru/parts/MAN/81907140895","81.90714-0895")</f>
        <v>81.90714-0895</v>
      </c>
      <c r="B3422" s="12" t="str">
        <f>HYPERLINK("https://parts-sales.ru/parts/MAN/81907140895","Распорная шайба 6,4x2,8  PA6")</f>
        <v>Распорная шайба 6,4x2,8  PA6</v>
      </c>
      <c r="C3422" s="3" t="s">
        <v>6</v>
      </c>
      <c r="D3422" s="4">
        <v>496.8</v>
      </c>
      <c r="E3422" s="4">
        <v>124</v>
      </c>
      <c r="F3422" s="8">
        <v>0.75</v>
      </c>
      <c r="H3422" s="11"/>
      <c r="I3422" s="11"/>
      <c r="J3422" s="11"/>
    </row>
    <row r="3423" spans="1:10" ht="15.75" x14ac:dyDescent="0.3">
      <c r="A3423" s="13" t="str">
        <f>HYPERLINK("https://parts-sales.ru/parts/MAN/81907150008","81.90715-0008")</f>
        <v>81.90715-0008</v>
      </c>
      <c r="B3423" s="13" t="str">
        <f>HYPERLINK("https://parts-sales.ru/parts/MAN/81907150008","Шайба")</f>
        <v>Шайба</v>
      </c>
      <c r="C3423" s="5" t="s">
        <v>6</v>
      </c>
      <c r="D3423" s="6">
        <v>840</v>
      </c>
      <c r="E3423" s="6">
        <v>200</v>
      </c>
      <c r="F3423" s="9">
        <v>0.76</v>
      </c>
      <c r="H3423" s="11"/>
      <c r="I3423" s="11"/>
      <c r="J3423" s="11"/>
    </row>
    <row r="3424" spans="1:10" ht="15.75" x14ac:dyDescent="0.3">
      <c r="A3424" s="12" t="str">
        <f>HYPERLINK("https://parts-sales.ru/parts/MAN/81907150036","81.90715-0036")</f>
        <v>81.90715-0036</v>
      </c>
      <c r="B3424" s="12" t="str">
        <f>HYPERLINK("https://parts-sales.ru/parts/MAN/81907150036","Шайба 11X37,5/30,2X4-S355J2-MAN183-B")</f>
        <v>Шайба 11X37,5/30,2X4-S355J2-MAN183-B</v>
      </c>
      <c r="C3424" s="3" t="s">
        <v>6</v>
      </c>
      <c r="D3424" s="4">
        <v>1502.4</v>
      </c>
      <c r="E3424" s="4">
        <v>172</v>
      </c>
      <c r="F3424" s="8">
        <v>0.89</v>
      </c>
      <c r="H3424" s="11"/>
      <c r="I3424" s="11"/>
      <c r="J3424" s="11"/>
    </row>
    <row r="3425" spans="1:10" ht="15.75" x14ac:dyDescent="0.3">
      <c r="A3425" s="13" t="str">
        <f>HYPERLINK("https://parts-sales.ru/parts/MAN/81907150094","81.90715-0094")</f>
        <v>81.90715-0094</v>
      </c>
      <c r="B3425" s="13" t="str">
        <f>HYPERLINK("https://parts-sales.ru/parts/MAN/81907150094","Компенсационная шайба 49/32X2/10,1X21,1-")</f>
        <v>Компенсационная шайба 49/32X2/10,1X21,1-</v>
      </c>
      <c r="C3425" s="5" t="s">
        <v>6</v>
      </c>
      <c r="D3425" s="6">
        <v>730.8</v>
      </c>
      <c r="E3425" s="6">
        <v>49</v>
      </c>
      <c r="F3425" s="9">
        <v>0.93</v>
      </c>
      <c r="H3425" s="11"/>
      <c r="I3425" s="11"/>
      <c r="J3425" s="11"/>
    </row>
    <row r="3426" spans="1:10" ht="15.75" x14ac:dyDescent="0.3">
      <c r="A3426" s="12" t="str">
        <f>HYPERLINK("https://parts-sales.ru/parts/MAN/81907500578","81.90750-0578")</f>
        <v>81.90750-0578</v>
      </c>
      <c r="B3426" s="12" t="str">
        <f>HYPERLINK("https://parts-sales.ru/parts/MAN/81907500578","Шайба 30X12X40-20-15-19,0-ST37-2-NXX")</f>
        <v>Шайба 30X12X40-20-15-19,0-ST37-2-NXX</v>
      </c>
      <c r="C3426" s="3" t="s">
        <v>6</v>
      </c>
      <c r="D3426" s="4">
        <v>410.4</v>
      </c>
      <c r="E3426" s="4">
        <v>33</v>
      </c>
      <c r="F3426" s="8">
        <v>0.92</v>
      </c>
      <c r="H3426" s="11"/>
      <c r="I3426" s="11"/>
      <c r="J3426" s="11"/>
    </row>
    <row r="3427" spans="1:10" ht="15.75" x14ac:dyDescent="0.3">
      <c r="A3427" s="13" t="str">
        <f>HYPERLINK("https://parts-sales.ru/parts/MAN/81907500618","81.90750-0618")</f>
        <v>81.90750-0618</v>
      </c>
      <c r="B3427" s="13" t="str">
        <f>HYPERLINK("https://parts-sales.ru/parts/MAN/81907500618","Прокладка")</f>
        <v>Прокладка</v>
      </c>
      <c r="C3427" s="5" t="s">
        <v>6</v>
      </c>
      <c r="D3427" s="6">
        <v>970.82</v>
      </c>
      <c r="E3427" s="6">
        <v>406</v>
      </c>
      <c r="F3427" s="9">
        <v>0.57999999999999996</v>
      </c>
      <c r="H3427" s="11"/>
      <c r="I3427" s="11"/>
      <c r="J3427" s="11"/>
    </row>
    <row r="3428" spans="1:10" ht="15.75" x14ac:dyDescent="0.3">
      <c r="A3428" s="12" t="str">
        <f>HYPERLINK("https://parts-sales.ru/parts/MAN/81907600294","81.90760-0294")</f>
        <v>81.90760-0294</v>
      </c>
      <c r="B3428" s="12" t="str">
        <f>HYPERLINK("https://parts-sales.ru/parts/MAN/81907600294","Установочная шайба 128,5X149,95X2,3-C60")</f>
        <v>Установочная шайба 128,5X149,95X2,3-C60</v>
      </c>
      <c r="C3428" s="3" t="s">
        <v>6</v>
      </c>
      <c r="D3428" s="4">
        <v>3664.8</v>
      </c>
      <c r="E3428" s="4">
        <v>1441</v>
      </c>
      <c r="F3428" s="8">
        <v>0.61</v>
      </c>
      <c r="H3428" s="11"/>
      <c r="I3428" s="11"/>
      <c r="J3428" s="11"/>
    </row>
    <row r="3429" spans="1:10" ht="15.75" x14ac:dyDescent="0.3">
      <c r="A3429" s="13" t="str">
        <f>HYPERLINK("https://parts-sales.ru/parts/MAN/81907600298","81.90760-0298")</f>
        <v>81.90760-0298</v>
      </c>
      <c r="B3429" s="13" t="str">
        <f>HYPERLINK("https://parts-sales.ru/parts/MAN/81907600298","Установочная шайба 128,5X149,95X1,8-C60")</f>
        <v>Установочная шайба 128,5X149,95X1,8-C60</v>
      </c>
      <c r="C3429" s="5" t="s">
        <v>6</v>
      </c>
      <c r="D3429" s="6">
        <v>3882</v>
      </c>
      <c r="E3429" s="6">
        <v>925</v>
      </c>
      <c r="F3429" s="9">
        <v>0.76</v>
      </c>
      <c r="H3429" s="11"/>
      <c r="I3429" s="11"/>
      <c r="J3429" s="11"/>
    </row>
    <row r="3430" spans="1:10" ht="15.75" x14ac:dyDescent="0.3">
      <c r="A3430" s="12" t="str">
        <f>HYPERLINK("https://parts-sales.ru/parts/MAN/81907700097","81.90770-0097")</f>
        <v>81.90770-0097</v>
      </c>
      <c r="B3430" s="12" t="str">
        <f>HYPERLINK("https://parts-sales.ru/parts/MAN/81907700097","Установочная шайба 65X80X4-C60")</f>
        <v>Установочная шайба 65X80X4-C60</v>
      </c>
      <c r="C3430" s="3" t="s">
        <v>6</v>
      </c>
      <c r="D3430" s="4">
        <v>6092.4</v>
      </c>
      <c r="E3430" s="4">
        <v>1366</v>
      </c>
      <c r="F3430" s="8">
        <v>0.78</v>
      </c>
      <c r="H3430" s="11"/>
      <c r="I3430" s="11"/>
      <c r="J3430" s="11"/>
    </row>
    <row r="3431" spans="1:10" ht="15.75" x14ac:dyDescent="0.3">
      <c r="A3431" s="13" t="str">
        <f>HYPERLINK("https://parts-sales.ru/parts/MAN/81907700103","81.90770-0103")</f>
        <v>81.90770-0103</v>
      </c>
      <c r="B3431" s="13" t="str">
        <f>HYPERLINK("https://parts-sales.ru/parts/MAN/81907700103","Установочная шайба 65X80X4,7-C60")</f>
        <v>Установочная шайба 65X80X4,7-C60</v>
      </c>
      <c r="C3431" s="5" t="s">
        <v>6</v>
      </c>
      <c r="D3431" s="6">
        <v>3543.6</v>
      </c>
      <c r="E3431" s="6">
        <v>818</v>
      </c>
      <c r="F3431" s="9">
        <v>0.77</v>
      </c>
      <c r="H3431" s="11"/>
      <c r="I3431" s="11"/>
      <c r="J3431" s="11"/>
    </row>
    <row r="3432" spans="1:10" ht="15.75" x14ac:dyDescent="0.3">
      <c r="A3432" s="12" t="str">
        <f>HYPERLINK("https://parts-sales.ru/parts/MAN/81907700105","81.90770-0105")</f>
        <v>81.90770-0105</v>
      </c>
      <c r="B3432" s="12" t="str">
        <f>HYPERLINK("https://parts-sales.ru/parts/MAN/81907700105","Установочная шайба 65X80X4,95-C60")</f>
        <v>Установочная шайба 65X80X4,95-C60</v>
      </c>
      <c r="C3432" s="3" t="s">
        <v>6</v>
      </c>
      <c r="D3432" s="4">
        <v>4206</v>
      </c>
      <c r="E3432" s="4">
        <v>1256</v>
      </c>
      <c r="F3432" s="8">
        <v>0.7</v>
      </c>
      <c r="H3432" s="11"/>
      <c r="I3432" s="11"/>
      <c r="J3432" s="11"/>
    </row>
    <row r="3433" spans="1:10" ht="15.75" x14ac:dyDescent="0.3">
      <c r="A3433" s="13" t="str">
        <f>HYPERLINK("https://parts-sales.ru/parts/MAN/81907700120","81.90770-0120")</f>
        <v>81.90770-0120</v>
      </c>
      <c r="B3433" s="13" t="str">
        <f>HYPERLINK("https://parts-sales.ru/parts/MAN/81907700120","Установочная шайба 60D13X73X3,7-C60")</f>
        <v>Установочная шайба 60D13X73X3,7-C60</v>
      </c>
      <c r="C3433" s="5" t="s">
        <v>6</v>
      </c>
      <c r="D3433" s="6">
        <v>5326.8</v>
      </c>
      <c r="E3433" s="6">
        <v>1071</v>
      </c>
      <c r="F3433" s="9">
        <v>0.8</v>
      </c>
      <c r="H3433" s="11"/>
      <c r="I3433" s="11"/>
      <c r="J3433" s="11"/>
    </row>
    <row r="3434" spans="1:10" ht="15.75" x14ac:dyDescent="0.3">
      <c r="A3434" s="12" t="str">
        <f>HYPERLINK("https://parts-sales.ru/parts/MAN/81907700164","81.90770-0164")</f>
        <v>81.90770-0164</v>
      </c>
      <c r="B3434" s="12" t="str">
        <f>HYPERLINK("https://parts-sales.ru/parts/MAN/81907700164","Установочная шайба 65X80X4,19-C60")</f>
        <v>Установочная шайба 65X80X4,19-C60</v>
      </c>
      <c r="C3434" s="3" t="s">
        <v>6</v>
      </c>
      <c r="D3434" s="4">
        <v>6862.8</v>
      </c>
      <c r="E3434" s="4">
        <v>1181</v>
      </c>
      <c r="F3434" s="8">
        <v>0.83</v>
      </c>
      <c r="H3434" s="11"/>
      <c r="I3434" s="11"/>
      <c r="J3434" s="11"/>
    </row>
    <row r="3435" spans="1:10" ht="15.75" x14ac:dyDescent="0.3">
      <c r="A3435" s="13" t="str">
        <f>HYPERLINK("https://parts-sales.ru/parts/MAN/81907700165","81.90770-0165")</f>
        <v>81.90770-0165</v>
      </c>
      <c r="B3435" s="13" t="str">
        <f>HYPERLINK("https://parts-sales.ru/parts/MAN/81907700165","Установочная шайба 65X80X4,21-C60")</f>
        <v>Установочная шайба 65X80X4,21-C60</v>
      </c>
      <c r="C3435" s="5" t="s">
        <v>6</v>
      </c>
      <c r="D3435" s="6">
        <v>5292</v>
      </c>
      <c r="E3435" s="6">
        <v>1217</v>
      </c>
      <c r="F3435" s="9">
        <v>0.77</v>
      </c>
      <c r="H3435" s="11"/>
      <c r="I3435" s="11"/>
      <c r="J3435" s="11"/>
    </row>
    <row r="3436" spans="1:10" ht="15.75" x14ac:dyDescent="0.3">
      <c r="A3436" s="12" t="str">
        <f>HYPERLINK("https://parts-sales.ru/parts/MAN/81907700184","81.90770-0184")</f>
        <v>81.90770-0184</v>
      </c>
      <c r="B3436" s="12" t="str">
        <f>HYPERLINK("https://parts-sales.ru/parts/MAN/81907700184","Установочная шайба 65X80X4,44-C60")</f>
        <v>Установочная шайба 65X80X4,44-C60</v>
      </c>
      <c r="C3436" s="3" t="s">
        <v>6</v>
      </c>
      <c r="D3436" s="4">
        <v>2946</v>
      </c>
      <c r="E3436" s="4">
        <v>878</v>
      </c>
      <c r="F3436" s="8">
        <v>0.7</v>
      </c>
      <c r="H3436" s="11"/>
      <c r="I3436" s="11"/>
      <c r="J3436" s="11"/>
    </row>
    <row r="3437" spans="1:10" ht="15.75" x14ac:dyDescent="0.3">
      <c r="A3437" s="13" t="str">
        <f>HYPERLINK("https://parts-sales.ru/parts/MAN/81907700191","81.90770-0191")</f>
        <v>81.90770-0191</v>
      </c>
      <c r="B3437" s="13" t="str">
        <f>HYPERLINK("https://parts-sales.ru/parts/MAN/81907700191","Установочная шайба 65X80X4,53-C60")</f>
        <v>Установочная шайба 65X80X4,53-C60</v>
      </c>
      <c r="C3437" s="5" t="s">
        <v>6</v>
      </c>
      <c r="D3437" s="6">
        <v>3088.8</v>
      </c>
      <c r="E3437" s="6">
        <v>1026</v>
      </c>
      <c r="F3437" s="9">
        <v>0.67</v>
      </c>
      <c r="H3437" s="11"/>
      <c r="I3437" s="11"/>
      <c r="J3437" s="11"/>
    </row>
    <row r="3438" spans="1:10" ht="15.75" x14ac:dyDescent="0.3">
      <c r="A3438" s="12" t="str">
        <f>HYPERLINK("https://parts-sales.ru/parts/MAN/81907700194","81.90770-0194")</f>
        <v>81.90770-0194</v>
      </c>
      <c r="B3438" s="12" t="str">
        <f>HYPERLINK("https://parts-sales.ru/parts/MAN/81907700194","Установочная шайба 65X80X4,57-C60")</f>
        <v>Установочная шайба 65X80X4,57-C60</v>
      </c>
      <c r="C3438" s="3" t="s">
        <v>6</v>
      </c>
      <c r="D3438" s="4">
        <v>3306</v>
      </c>
      <c r="E3438" s="4">
        <v>875</v>
      </c>
      <c r="F3438" s="8">
        <v>0.74</v>
      </c>
      <c r="H3438" s="11"/>
      <c r="I3438" s="11"/>
      <c r="J3438" s="11"/>
    </row>
    <row r="3439" spans="1:10" ht="15.75" x14ac:dyDescent="0.3">
      <c r="A3439" s="13" t="str">
        <f>HYPERLINK("https://parts-sales.ru/parts/MAN/81907700196","81.90770-0196")</f>
        <v>81.90770-0196</v>
      </c>
      <c r="B3439" s="13" t="str">
        <f>HYPERLINK("https://parts-sales.ru/parts/MAN/81907700196","Установочная шайба 65X80X4,59-C60")</f>
        <v>Установочная шайба 65X80X4,59-C60</v>
      </c>
      <c r="C3439" s="5" t="s">
        <v>6</v>
      </c>
      <c r="D3439" s="6">
        <v>7941.6</v>
      </c>
      <c r="E3439" s="6">
        <v>1697</v>
      </c>
      <c r="F3439" s="9">
        <v>0.79</v>
      </c>
      <c r="H3439" s="11"/>
      <c r="I3439" s="11"/>
      <c r="J3439" s="11"/>
    </row>
    <row r="3440" spans="1:10" ht="15.75" x14ac:dyDescent="0.3">
      <c r="A3440" s="12" t="str">
        <f>HYPERLINK("https://parts-sales.ru/parts/MAN/81907700204","81.90770-0204")</f>
        <v>81.90770-0204</v>
      </c>
      <c r="B3440" s="12" t="str">
        <f>HYPERLINK("https://parts-sales.ru/parts/MAN/81907700204","Установочная шайба 65X80X4,69-C60")</f>
        <v>Установочная шайба 65X80X4,69-C60</v>
      </c>
      <c r="C3440" s="3" t="s">
        <v>6</v>
      </c>
      <c r="D3440" s="4">
        <v>5937.6</v>
      </c>
      <c r="E3440" s="4">
        <v>1350</v>
      </c>
      <c r="F3440" s="8">
        <v>0.77</v>
      </c>
      <c r="H3440" s="11"/>
      <c r="I3440" s="11"/>
      <c r="J3440" s="11"/>
    </row>
    <row r="3441" spans="1:10" ht="15.75" x14ac:dyDescent="0.3">
      <c r="A3441" s="13" t="str">
        <f>HYPERLINK("https://parts-sales.ru/parts/MAN/81907700206","81.90770-0206")</f>
        <v>81.90770-0206</v>
      </c>
      <c r="B3441" s="13" t="str">
        <f>HYPERLINK("https://parts-sales.ru/parts/MAN/81907700206","Установочная шайба 65X80X4,72-C60")</f>
        <v>Установочная шайба 65X80X4,72-C60</v>
      </c>
      <c r="C3441" s="5" t="s">
        <v>6</v>
      </c>
      <c r="D3441" s="6">
        <v>5937.6</v>
      </c>
      <c r="E3441" s="6">
        <v>1361</v>
      </c>
      <c r="F3441" s="9">
        <v>0.77</v>
      </c>
      <c r="H3441" s="11"/>
      <c r="I3441" s="11"/>
      <c r="J3441" s="11"/>
    </row>
    <row r="3442" spans="1:10" ht="15.75" x14ac:dyDescent="0.3">
      <c r="A3442" s="12" t="str">
        <f>HYPERLINK("https://parts-sales.ru/parts/MAN/81907700215","81.90770-0215")</f>
        <v>81.90770-0215</v>
      </c>
      <c r="B3442" s="12" t="str">
        <f>HYPERLINK("https://parts-sales.ru/parts/MAN/81907700215","Установочная шайба 65X80X4,83-C60")</f>
        <v>Установочная шайба 65X80X4,83-C60</v>
      </c>
      <c r="C3442" s="3" t="s">
        <v>6</v>
      </c>
      <c r="D3442" s="4">
        <v>3306</v>
      </c>
      <c r="E3442" s="4">
        <v>767</v>
      </c>
      <c r="F3442" s="8">
        <v>0.77</v>
      </c>
      <c r="H3442" s="11"/>
      <c r="I3442" s="11"/>
      <c r="J3442" s="11"/>
    </row>
    <row r="3443" spans="1:10" ht="15.75" x14ac:dyDescent="0.3">
      <c r="A3443" s="13" t="str">
        <f>HYPERLINK("https://parts-sales.ru/parts/MAN/81907700220","81.90770-0220")</f>
        <v>81.90770-0220</v>
      </c>
      <c r="B3443" s="13" t="str">
        <f>HYPERLINK("https://parts-sales.ru/parts/MAN/81907700220","Установочная шайба 65X80X4,89-C60")</f>
        <v>Установочная шайба 65X80X4,89-C60</v>
      </c>
      <c r="C3443" s="5" t="s">
        <v>6</v>
      </c>
      <c r="D3443" s="6">
        <v>3597.6</v>
      </c>
      <c r="E3443" s="6">
        <v>833</v>
      </c>
      <c r="F3443" s="9">
        <v>0.77</v>
      </c>
      <c r="H3443" s="11"/>
      <c r="I3443" s="11"/>
      <c r="J3443" s="11"/>
    </row>
    <row r="3444" spans="1:10" ht="15.75" x14ac:dyDescent="0.3">
      <c r="A3444" s="12" t="str">
        <f>HYPERLINK("https://parts-sales.ru/parts/MAN/81907700221","81.90770-0221")</f>
        <v>81.90770-0221</v>
      </c>
      <c r="B3444" s="12" t="str">
        <f>HYPERLINK("https://parts-sales.ru/parts/MAN/81907700221","Установочная шайба 65X80X4,91-C60")</f>
        <v>Установочная шайба 65X80X4,91-C60</v>
      </c>
      <c r="C3444" s="3" t="s">
        <v>6</v>
      </c>
      <c r="D3444" s="4">
        <v>7941.6</v>
      </c>
      <c r="E3444" s="4">
        <v>1864</v>
      </c>
      <c r="F3444" s="8">
        <v>0.77</v>
      </c>
      <c r="H3444" s="11"/>
      <c r="I3444" s="11"/>
      <c r="J3444" s="11"/>
    </row>
    <row r="3445" spans="1:10" ht="15.75" x14ac:dyDescent="0.3">
      <c r="A3445" s="13" t="str">
        <f>HYPERLINK("https://parts-sales.ru/parts/MAN/81907700225","81.90770-0225")</f>
        <v>81.90770-0225</v>
      </c>
      <c r="B3445" s="13" t="str">
        <f>HYPERLINK("https://parts-sales.ru/parts/MAN/81907700225","Установочная шайба 65X80X4,96-C60")</f>
        <v>Установочная шайба 65X80X4,96-C60</v>
      </c>
      <c r="C3445" s="5" t="s">
        <v>6</v>
      </c>
      <c r="D3445" s="6">
        <v>7227.6</v>
      </c>
      <c r="E3445" s="6">
        <v>1667</v>
      </c>
      <c r="F3445" s="9">
        <v>0.77</v>
      </c>
      <c r="H3445" s="11"/>
      <c r="I3445" s="11"/>
      <c r="J3445" s="11"/>
    </row>
    <row r="3446" spans="1:10" ht="15.75" x14ac:dyDescent="0.3">
      <c r="A3446" s="12" t="str">
        <f>HYPERLINK("https://parts-sales.ru/parts/MAN/81907700230","81.90770-0230")</f>
        <v>81.90770-0230</v>
      </c>
      <c r="B3446" s="12" t="str">
        <f>HYPERLINK("https://parts-sales.ru/parts/MAN/81907700230","Установочная шайба 65X80X5,02-C60")</f>
        <v>Установочная шайба 65X80X5,02-C60</v>
      </c>
      <c r="C3446" s="3" t="s">
        <v>6</v>
      </c>
      <c r="D3446" s="4">
        <v>7498.8</v>
      </c>
      <c r="E3446" s="4">
        <v>1733</v>
      </c>
      <c r="F3446" s="8">
        <v>0.77</v>
      </c>
      <c r="H3446" s="11"/>
      <c r="I3446" s="11"/>
      <c r="J3446" s="11"/>
    </row>
    <row r="3447" spans="1:10" ht="15.75" x14ac:dyDescent="0.3">
      <c r="A3447" s="13" t="str">
        <f>HYPERLINK("https://parts-sales.ru/parts/MAN/81907700244","81.90770-0244")</f>
        <v>81.90770-0244</v>
      </c>
      <c r="B3447" s="13" t="str">
        <f>HYPERLINK("https://parts-sales.ru/parts/MAN/81907700244","Установочная шайба 65X80X5,18-C60")</f>
        <v>Установочная шайба 65X80X5,18-C60</v>
      </c>
      <c r="C3447" s="5" t="s">
        <v>6</v>
      </c>
      <c r="D3447" s="6">
        <v>5326.8</v>
      </c>
      <c r="E3447" s="6">
        <v>1227</v>
      </c>
      <c r="F3447" s="9">
        <v>0.77</v>
      </c>
      <c r="H3447" s="11"/>
      <c r="I3447" s="11"/>
      <c r="J3447" s="11"/>
    </row>
    <row r="3448" spans="1:10" ht="15.75" x14ac:dyDescent="0.3">
      <c r="A3448" s="12" t="str">
        <f>HYPERLINK("https://parts-sales.ru/parts/MAN/81907700246","81.90770-0246")</f>
        <v>81.90770-0246</v>
      </c>
      <c r="B3448" s="12" t="str">
        <f>HYPERLINK("https://parts-sales.ru/parts/MAN/81907700246","Установочная шайба 65X80X5,21-C60")</f>
        <v>Установочная шайба 65X80X5,21-C60</v>
      </c>
      <c r="C3448" s="3" t="s">
        <v>6</v>
      </c>
      <c r="D3448" s="4">
        <v>6549.6</v>
      </c>
      <c r="E3448" s="4">
        <v>1665</v>
      </c>
      <c r="F3448" s="8">
        <v>0.75</v>
      </c>
      <c r="H3448" s="11"/>
      <c r="I3448" s="11"/>
      <c r="J3448" s="11"/>
    </row>
    <row r="3449" spans="1:10" ht="15.75" x14ac:dyDescent="0.3">
      <c r="A3449" s="13" t="str">
        <f>HYPERLINK("https://parts-sales.ru/parts/MAN/81907700250","81.90770-0250")</f>
        <v>81.90770-0250</v>
      </c>
      <c r="B3449" s="13" t="str">
        <f>HYPERLINK("https://parts-sales.ru/parts/MAN/81907700250","Установочная шайба 65X80X5,25-C60")</f>
        <v>Установочная шайба 65X80X5,25-C60</v>
      </c>
      <c r="C3449" s="5" t="s">
        <v>6</v>
      </c>
      <c r="D3449" s="6">
        <v>6996</v>
      </c>
      <c r="E3449" s="6">
        <v>1794</v>
      </c>
      <c r="F3449" s="9">
        <v>0.74</v>
      </c>
      <c r="H3449" s="11"/>
      <c r="I3449" s="11"/>
      <c r="J3449" s="11"/>
    </row>
    <row r="3450" spans="1:10" ht="15.75" x14ac:dyDescent="0.3">
      <c r="A3450" s="12" t="str">
        <f>HYPERLINK("https://parts-sales.ru/parts/MAN/81908010224","81.90801-0224")</f>
        <v>81.90801-0224</v>
      </c>
      <c r="B3450" s="12" t="str">
        <f>HYPERLINK("https://parts-sales.ru/parts/MAN/81908010224","Стопорная шайба 88,5X100X2X10C11-UST37-2")</f>
        <v>Стопорная шайба 88,5X100X2X10C11-UST37-2</v>
      </c>
      <c r="C3450" s="3" t="s">
        <v>6</v>
      </c>
      <c r="D3450" s="4">
        <v>1582.63</v>
      </c>
      <c r="E3450" s="4">
        <v>949</v>
      </c>
      <c r="F3450" s="8">
        <v>0.4</v>
      </c>
      <c r="H3450" s="11"/>
      <c r="I3450" s="11"/>
      <c r="J3450" s="11"/>
    </row>
    <row r="3451" spans="1:10" ht="15.75" x14ac:dyDescent="0.3">
      <c r="A3451" s="13" t="str">
        <f>HYPERLINK("https://parts-sales.ru/parts/MAN/81908010225","81.90801-0225")</f>
        <v>81.90801-0225</v>
      </c>
      <c r="B3451" s="13" t="str">
        <f>HYPERLINK("https://parts-sales.ru/parts/MAN/81908010225","Стопорная шайба")</f>
        <v>Стопорная шайба</v>
      </c>
      <c r="C3451" s="5" t="s">
        <v>6</v>
      </c>
      <c r="D3451" s="6">
        <v>1436.4</v>
      </c>
      <c r="E3451" s="6">
        <v>206</v>
      </c>
      <c r="F3451" s="9">
        <v>0.86</v>
      </c>
      <c r="H3451" s="11"/>
      <c r="I3451" s="11"/>
      <c r="J3451" s="11"/>
    </row>
    <row r="3452" spans="1:10" ht="15.75" x14ac:dyDescent="0.3">
      <c r="A3452" s="12" t="str">
        <f>HYPERLINK("https://parts-sales.ru/parts/MAN/81908010328","81.90801-0328")</f>
        <v>81.90801-0328</v>
      </c>
      <c r="B3452" s="12" t="str">
        <f>HYPERLINK("https://parts-sales.ru/parts/MAN/81908010328","Стопорная шайба")</f>
        <v>Стопорная шайба</v>
      </c>
      <c r="C3452" s="3" t="s">
        <v>6</v>
      </c>
      <c r="D3452" s="4">
        <v>1772.4</v>
      </c>
      <c r="E3452" s="4">
        <v>308</v>
      </c>
      <c r="F3452" s="8">
        <v>0.83</v>
      </c>
      <c r="H3452" s="11"/>
      <c r="I3452" s="11"/>
      <c r="J3452" s="11"/>
    </row>
    <row r="3453" spans="1:10" ht="15.75" x14ac:dyDescent="0.3">
      <c r="A3453" s="13" t="str">
        <f>HYPERLINK("https://parts-sales.ru/parts/MAN/81908100074","81.90810-0074")</f>
        <v>81.90810-0074</v>
      </c>
      <c r="B3453" s="13" t="str">
        <f>HYPERLINK("https://parts-sales.ru/parts/MAN/81908100074","Пружинная шайба")</f>
        <v>Пружинная шайба</v>
      </c>
      <c r="C3453" s="5" t="s">
        <v>6</v>
      </c>
      <c r="D3453" s="6">
        <v>2030.4</v>
      </c>
      <c r="E3453" s="6">
        <v>370</v>
      </c>
      <c r="F3453" s="9">
        <v>0.82</v>
      </c>
      <c r="H3453" s="11"/>
      <c r="I3453" s="11"/>
      <c r="J3453" s="11"/>
    </row>
    <row r="3454" spans="1:10" ht="15.75" x14ac:dyDescent="0.3">
      <c r="A3454" s="12" t="str">
        <f>HYPERLINK("https://parts-sales.ru/parts/MAN/81908100180","81.90810-0180")</f>
        <v>81.90810-0180</v>
      </c>
      <c r="B3454" s="12" t="str">
        <f>HYPERLINK("https://parts-sales.ru/parts/MAN/81908100180","Стопорная шайба")</f>
        <v>Стопорная шайба</v>
      </c>
      <c r="C3454" s="3" t="s">
        <v>6</v>
      </c>
      <c r="D3454" s="4">
        <v>1831.2</v>
      </c>
      <c r="E3454" s="4">
        <v>401</v>
      </c>
      <c r="F3454" s="8">
        <v>0.78</v>
      </c>
      <c r="H3454" s="11"/>
      <c r="I3454" s="11"/>
      <c r="J3454" s="11"/>
    </row>
    <row r="3455" spans="1:10" ht="15.75" x14ac:dyDescent="0.3">
      <c r="A3455" s="13" t="str">
        <f>HYPERLINK("https://parts-sales.ru/parts/MAN/81908200308","81.90820-0308")</f>
        <v>81.90820-0308</v>
      </c>
      <c r="B3455" s="13" t="str">
        <f>HYPERLINK("https://parts-sales.ru/parts/MAN/81908200308","Предохранительная проволока")</f>
        <v>Предохранительная проволока</v>
      </c>
      <c r="C3455" s="5" t="s">
        <v>6</v>
      </c>
      <c r="D3455" s="6">
        <v>1231.2</v>
      </c>
      <c r="E3455" s="6">
        <v>285</v>
      </c>
      <c r="F3455" s="9">
        <v>0.77</v>
      </c>
      <c r="H3455" s="11"/>
      <c r="I3455" s="11"/>
      <c r="J3455" s="11"/>
    </row>
    <row r="3456" spans="1:10" ht="15.75" x14ac:dyDescent="0.3">
      <c r="A3456" s="12" t="str">
        <f>HYPERLINK("https://parts-sales.ru/parts/MAN/81908200340","81.90820-0340")</f>
        <v>81.90820-0340</v>
      </c>
      <c r="B3456" s="12" t="str">
        <f>HYPERLINK("https://parts-sales.ru/parts/MAN/81908200340","Стопорная шайба 5-22-X12CRNI177")</f>
        <v>Стопорная шайба 5-22-X12CRNI177</v>
      </c>
      <c r="C3456" s="3" t="s">
        <v>6</v>
      </c>
      <c r="D3456" s="4">
        <v>278.39999999999998</v>
      </c>
      <c r="E3456" s="4">
        <v>11</v>
      </c>
      <c r="F3456" s="8">
        <v>0.96</v>
      </c>
      <c r="H3456" s="11"/>
      <c r="I3456" s="11"/>
      <c r="J3456" s="11"/>
    </row>
    <row r="3457" spans="1:10" ht="15.75" x14ac:dyDescent="0.3">
      <c r="A3457" s="13" t="str">
        <f>HYPERLINK("https://parts-sales.ru/parts/MAN/81908200593","81.90820-0593")</f>
        <v>81.90820-0593</v>
      </c>
      <c r="B3457" s="13" t="str">
        <f>HYPERLINK("https://parts-sales.ru/parts/MAN/81908200593","Предохранительная проволока")</f>
        <v>Предохранительная проволока</v>
      </c>
      <c r="C3457" s="5" t="s">
        <v>6</v>
      </c>
      <c r="D3457" s="6">
        <v>1100.4000000000001</v>
      </c>
      <c r="E3457" s="6">
        <v>368</v>
      </c>
      <c r="F3457" s="9">
        <v>0.67</v>
      </c>
      <c r="H3457" s="11"/>
      <c r="I3457" s="11"/>
      <c r="J3457" s="11"/>
    </row>
    <row r="3458" spans="1:10" ht="15.75" x14ac:dyDescent="0.3">
      <c r="A3458" s="12" t="str">
        <f>HYPERLINK("https://parts-sales.ru/parts/MAN/81908200677","81.90820-0677")</f>
        <v>81.90820-0677</v>
      </c>
      <c r="B3458" s="12" t="str">
        <f>HYPERLINK("https://parts-sales.ru/parts/MAN/81908200677","Стопорное кольцо")</f>
        <v>Стопорное кольцо</v>
      </c>
      <c r="C3458" s="3" t="s">
        <v>6</v>
      </c>
      <c r="D3458" s="4">
        <v>1926</v>
      </c>
      <c r="E3458" s="4">
        <v>518</v>
      </c>
      <c r="F3458" s="8">
        <v>0.73</v>
      </c>
      <c r="H3458" s="11"/>
      <c r="I3458" s="11"/>
      <c r="J3458" s="11"/>
    </row>
    <row r="3459" spans="1:10" ht="15.75" x14ac:dyDescent="0.3">
      <c r="A3459" s="13" t="str">
        <f>HYPERLINK("https://parts-sales.ru/parts/MAN/81908200687","81.90820-0687")</f>
        <v>81.90820-0687</v>
      </c>
      <c r="B3459" s="13" t="str">
        <f>HYPERLINK("https://parts-sales.ru/parts/MAN/81908200687","Пружинное стопорное кольцо")</f>
        <v>Пружинное стопорное кольцо</v>
      </c>
      <c r="C3459" s="5" t="s">
        <v>6</v>
      </c>
      <c r="D3459" s="6">
        <v>1290</v>
      </c>
      <c r="E3459" s="6">
        <v>432</v>
      </c>
      <c r="F3459" s="9">
        <v>0.67</v>
      </c>
      <c r="H3459" s="11"/>
      <c r="I3459" s="11"/>
      <c r="J3459" s="11"/>
    </row>
    <row r="3460" spans="1:10" ht="15.75" x14ac:dyDescent="0.3">
      <c r="A3460" s="12" t="str">
        <f>HYPERLINK("https://parts-sales.ru/parts/MAN/81908200689","81.90820-0689")</f>
        <v>81.90820-0689</v>
      </c>
      <c r="B3460" s="12" t="str">
        <f>HYPERLINK("https://parts-sales.ru/parts/MAN/81908200689","Стопорное кольцо")</f>
        <v>Стопорное кольцо</v>
      </c>
      <c r="C3460" s="3" t="s">
        <v>6</v>
      </c>
      <c r="D3460" s="4">
        <v>1561.2</v>
      </c>
      <c r="E3460" s="4">
        <v>474</v>
      </c>
      <c r="F3460" s="8">
        <v>0.7</v>
      </c>
      <c r="H3460" s="11"/>
      <c r="I3460" s="11"/>
      <c r="J3460" s="11"/>
    </row>
    <row r="3461" spans="1:10" ht="15.75" x14ac:dyDescent="0.3">
      <c r="A3461" s="13" t="str">
        <f>HYPERLINK("https://parts-sales.ru/parts/MAN/81908200705","81.90820-0705")</f>
        <v>81.90820-0705</v>
      </c>
      <c r="B3461" s="13" t="str">
        <f>HYPERLINK("https://parts-sales.ru/parts/MAN/81908200705","Стопорное кольцо")</f>
        <v>Стопорное кольцо</v>
      </c>
      <c r="C3461" s="5" t="s">
        <v>6</v>
      </c>
      <c r="D3461" s="6">
        <v>1291.2</v>
      </c>
      <c r="E3461" s="6">
        <v>332</v>
      </c>
      <c r="F3461" s="9">
        <v>0.74</v>
      </c>
      <c r="H3461" s="11"/>
      <c r="I3461" s="11"/>
      <c r="J3461" s="11"/>
    </row>
    <row r="3462" spans="1:10" ht="15.75" x14ac:dyDescent="0.3">
      <c r="A3462" s="12" t="str">
        <f>HYPERLINK("https://parts-sales.ru/parts/MAN/81908200707","81.90820-0707")</f>
        <v>81.90820-0707</v>
      </c>
      <c r="B3462" s="12" t="str">
        <f>HYPERLINK("https://parts-sales.ru/parts/MAN/81908200707","Стопорное кольцо 50X2,60")</f>
        <v>Стопорное кольцо 50X2,60</v>
      </c>
      <c r="C3462" s="3" t="s">
        <v>6</v>
      </c>
      <c r="D3462" s="4">
        <v>1257.5999999999999</v>
      </c>
      <c r="E3462" s="4">
        <v>238</v>
      </c>
      <c r="F3462" s="8">
        <v>0.81</v>
      </c>
      <c r="H3462" s="11"/>
      <c r="I3462" s="11"/>
      <c r="J3462" s="11"/>
    </row>
    <row r="3463" spans="1:10" ht="15.75" x14ac:dyDescent="0.3">
      <c r="A3463" s="13" t="str">
        <f>HYPERLINK("https://parts-sales.ru/parts/MAN/81908200715","81.90820-0715")</f>
        <v>81.90820-0715</v>
      </c>
      <c r="B3463" s="13" t="str">
        <f>HYPERLINK("https://parts-sales.ru/parts/MAN/81908200715","Стопорное кольцо")</f>
        <v>Стопорное кольцо</v>
      </c>
      <c r="C3463" s="5" t="s">
        <v>6</v>
      </c>
      <c r="D3463" s="6">
        <v>949.2</v>
      </c>
      <c r="E3463" s="6">
        <v>219</v>
      </c>
      <c r="F3463" s="9">
        <v>0.77</v>
      </c>
      <c r="H3463" s="11"/>
      <c r="I3463" s="11"/>
      <c r="J3463" s="11"/>
    </row>
    <row r="3464" spans="1:10" ht="15.75" x14ac:dyDescent="0.3">
      <c r="A3464" s="12" t="str">
        <f>HYPERLINK("https://parts-sales.ru/parts/MAN/81908200722","81.90820-0722")</f>
        <v>81.90820-0722</v>
      </c>
      <c r="B3464" s="12" t="str">
        <f>HYPERLINK("https://parts-sales.ru/parts/MAN/81908200722","Стопорная шайба 22-11-C67S-SW")</f>
        <v>Стопорная шайба 22-11-C67S-SW</v>
      </c>
      <c r="C3464" s="3" t="s">
        <v>6</v>
      </c>
      <c r="D3464" s="4">
        <v>126</v>
      </c>
      <c r="E3464" s="4">
        <v>16</v>
      </c>
      <c r="F3464" s="8">
        <v>0.87</v>
      </c>
      <c r="H3464" s="11"/>
      <c r="I3464" s="11"/>
      <c r="J3464" s="11"/>
    </row>
    <row r="3465" spans="1:10" ht="15.75" x14ac:dyDescent="0.3">
      <c r="A3465" s="13" t="str">
        <f>HYPERLINK("https://parts-sales.ru/parts/MAN/81908200723","81.90820-0723")</f>
        <v>81.90820-0723</v>
      </c>
      <c r="B3465" s="13" t="str">
        <f>HYPERLINK("https://parts-sales.ru/parts/MAN/81908200723","Пружинное стопорное кольцо")</f>
        <v>Пружинное стопорное кольцо</v>
      </c>
      <c r="C3465" s="5" t="s">
        <v>6</v>
      </c>
      <c r="D3465" s="6">
        <v>2414.4</v>
      </c>
      <c r="E3465" s="6">
        <v>602</v>
      </c>
      <c r="F3465" s="9">
        <v>0.75</v>
      </c>
      <c r="H3465" s="11"/>
      <c r="I3465" s="11"/>
      <c r="J3465" s="11"/>
    </row>
    <row r="3466" spans="1:10" ht="15.75" x14ac:dyDescent="0.3">
      <c r="A3466" s="12" t="str">
        <f>HYPERLINK("https://parts-sales.ru/parts/MAN/81908300038","81.90830-0038")</f>
        <v>81.90830-0038</v>
      </c>
      <c r="B3466" s="12" t="str">
        <f>HYPERLINK("https://parts-sales.ru/parts/MAN/81908300038","Упругая шайба")</f>
        <v>Упругая шайба</v>
      </c>
      <c r="C3466" s="3" t="s">
        <v>6</v>
      </c>
      <c r="D3466" s="4">
        <v>982.8</v>
      </c>
      <c r="E3466" s="4">
        <v>215</v>
      </c>
      <c r="F3466" s="8">
        <v>0.78</v>
      </c>
      <c r="H3466" s="11"/>
      <c r="I3466" s="11"/>
      <c r="J3466" s="11"/>
    </row>
    <row r="3467" spans="1:10" ht="15.75" x14ac:dyDescent="0.3">
      <c r="A3467" s="13" t="str">
        <f>HYPERLINK("https://parts-sales.ru/parts/MAN/81910010425","81.91001-0425")</f>
        <v>81.91001-0425</v>
      </c>
      <c r="B3467" s="13" t="str">
        <f>HYPERLINK("https://parts-sales.ru/parts/MAN/81910010425","Болт A28H9X20-ST50-2")</f>
        <v>Болт A28H9X20-ST50-2</v>
      </c>
      <c r="C3467" s="5" t="s">
        <v>6</v>
      </c>
      <c r="D3467" s="6">
        <v>1208.4000000000001</v>
      </c>
      <c r="E3467" s="6">
        <v>34</v>
      </c>
      <c r="F3467" s="9">
        <v>0.97</v>
      </c>
      <c r="H3467" s="11"/>
      <c r="I3467" s="11"/>
      <c r="J3467" s="11"/>
    </row>
    <row r="3468" spans="1:10" ht="15.75" x14ac:dyDescent="0.3">
      <c r="A3468" s="12" t="str">
        <f>HYPERLINK("https://parts-sales.ru/parts/MAN/81910010604","81.91001-0604")</f>
        <v>81.91001-0604</v>
      </c>
      <c r="B3468" s="12" t="str">
        <f>HYPERLINK("https://parts-sales.ru/parts/MAN/81910010604","Болт")</f>
        <v>Болт</v>
      </c>
      <c r="C3468" s="3" t="s">
        <v>6</v>
      </c>
      <c r="D3468" s="4">
        <v>3207.6</v>
      </c>
      <c r="E3468" s="4">
        <v>658</v>
      </c>
      <c r="F3468" s="8">
        <v>0.79</v>
      </c>
      <c r="H3468" s="11"/>
      <c r="I3468" s="11"/>
      <c r="J3468" s="11"/>
    </row>
    <row r="3469" spans="1:10" ht="15.75" x14ac:dyDescent="0.3">
      <c r="A3469" s="13" t="str">
        <f>HYPERLINK("https://parts-sales.ru/parts/MAN/81910010631","81.91001-0631")</f>
        <v>81.91001-0631</v>
      </c>
      <c r="B3469" s="13" t="str">
        <f>HYPERLINK("https://parts-sales.ru/parts/MAN/81910010631","Цилиндрический винт")</f>
        <v>Цилиндрический винт</v>
      </c>
      <c r="C3469" s="5" t="s">
        <v>6</v>
      </c>
      <c r="D3469" s="6">
        <v>417.6</v>
      </c>
      <c r="E3469" s="6">
        <v>127</v>
      </c>
      <c r="F3469" s="9">
        <v>0.7</v>
      </c>
      <c r="H3469" s="11"/>
      <c r="I3469" s="11"/>
      <c r="J3469" s="11"/>
    </row>
    <row r="3470" spans="1:10" ht="15.75" x14ac:dyDescent="0.3">
      <c r="A3470" s="12" t="str">
        <f>HYPERLINK("https://parts-sales.ru/parts/MAN/81910200839","81.91020-0839")</f>
        <v>81.91020-0839</v>
      </c>
      <c r="B3470" s="12" t="str">
        <f>HYPERLINK("https://parts-sales.ru/parts/MAN/81910200839","Болт")</f>
        <v>Болт</v>
      </c>
      <c r="C3470" s="3" t="s">
        <v>6</v>
      </c>
      <c r="D3470" s="4">
        <v>926.4</v>
      </c>
      <c r="E3470" s="4">
        <v>49</v>
      </c>
      <c r="F3470" s="8">
        <v>0.95</v>
      </c>
      <c r="H3470" s="11"/>
      <c r="I3470" s="11"/>
      <c r="J3470" s="11"/>
    </row>
    <row r="3471" spans="1:10" ht="15.75" x14ac:dyDescent="0.3">
      <c r="A3471" s="13" t="str">
        <f>HYPERLINK("https://parts-sales.ru/parts/MAN/81910200843","81.91020-0843")</f>
        <v>81.91020-0843</v>
      </c>
      <c r="B3471" s="13" t="str">
        <f>HYPERLINK("https://parts-sales.ru/parts/MAN/81910200843","Болт")</f>
        <v>Болт</v>
      </c>
      <c r="C3471" s="5" t="s">
        <v>6</v>
      </c>
      <c r="D3471" s="6">
        <v>982.8</v>
      </c>
      <c r="E3471" s="6">
        <v>118</v>
      </c>
      <c r="F3471" s="9">
        <v>0.88</v>
      </c>
      <c r="H3471" s="11"/>
      <c r="I3471" s="11"/>
      <c r="J3471" s="11"/>
    </row>
    <row r="3472" spans="1:10" ht="15.75" x14ac:dyDescent="0.3">
      <c r="A3472" s="12" t="str">
        <f>HYPERLINK("https://parts-sales.ru/parts/MAN/81910200845","81.91020-0845")</f>
        <v>81.91020-0845</v>
      </c>
      <c r="B3472" s="12" t="str">
        <f>HYPERLINK("https://parts-sales.ru/parts/MAN/81910200845","Болт 18X113-28-11SMN30-MAB183-B12")</f>
        <v>Болт 18X113-28-11SMN30-MAB183-B12</v>
      </c>
      <c r="C3472" s="3" t="s">
        <v>6</v>
      </c>
      <c r="D3472" s="4">
        <v>2496</v>
      </c>
      <c r="E3472" s="4">
        <v>982</v>
      </c>
      <c r="F3472" s="8">
        <v>0.61</v>
      </c>
      <c r="H3472" s="11"/>
      <c r="I3472" s="11"/>
      <c r="J3472" s="11"/>
    </row>
    <row r="3473" spans="1:10" ht="15.75" x14ac:dyDescent="0.3">
      <c r="A3473" s="13" t="str">
        <f>HYPERLINK("https://parts-sales.ru/parts/MAN/81913010144","81.91301-0144")</f>
        <v>81.91301-0144</v>
      </c>
      <c r="B3473" s="13" t="str">
        <f>HYPERLINK("https://parts-sales.ru/parts/MAN/81913010144","Болт A18M6X80-X12CRMOS17")</f>
        <v>Болт A18M6X80-X12CRMOS17</v>
      </c>
      <c r="C3473" s="5" t="s">
        <v>6</v>
      </c>
      <c r="D3473" s="6">
        <v>4875.6000000000004</v>
      </c>
      <c r="E3473" s="6">
        <v>1082</v>
      </c>
      <c r="F3473" s="9">
        <v>0.78</v>
      </c>
      <c r="H3473" s="11"/>
      <c r="I3473" s="11"/>
      <c r="J3473" s="11"/>
    </row>
    <row r="3474" spans="1:10" ht="15.75" x14ac:dyDescent="0.3">
      <c r="A3474" s="12" t="str">
        <f>HYPERLINK("https://parts-sales.ru/parts/MAN/81913200102","81.91320-0102")</f>
        <v>81.91320-0102</v>
      </c>
      <c r="B3474" s="12" t="str">
        <f>HYPERLINK("https://parts-sales.ru/parts/MAN/81913200102","Пломба AL")</f>
        <v>Пломба AL</v>
      </c>
      <c r="C3474" s="3" t="s">
        <v>6</v>
      </c>
      <c r="D3474" s="4">
        <v>152.4</v>
      </c>
      <c r="E3474" s="4">
        <v>24</v>
      </c>
      <c r="F3474" s="8">
        <v>0.84</v>
      </c>
      <c r="H3474" s="11"/>
      <c r="I3474" s="11"/>
      <c r="J3474" s="11"/>
    </row>
    <row r="3475" spans="1:10" ht="15.75" x14ac:dyDescent="0.3">
      <c r="A3475" s="13" t="str">
        <f>HYPERLINK("https://parts-sales.ru/parts/MAN/81913200116","81.91320-0116")</f>
        <v>81.91320-0116</v>
      </c>
      <c r="B3475" s="13" t="str">
        <f>HYPERLINK("https://parts-sales.ru/parts/MAN/81913200116","Пломба без маркировки")</f>
        <v>Пломба без маркировки</v>
      </c>
      <c r="C3475" s="5" t="s">
        <v>6</v>
      </c>
      <c r="D3475" s="6">
        <v>253.2</v>
      </c>
      <c r="E3475" s="6">
        <v>69</v>
      </c>
      <c r="F3475" s="9">
        <v>0.73</v>
      </c>
      <c r="H3475" s="11"/>
      <c r="I3475" s="11"/>
      <c r="J3475" s="11"/>
    </row>
    <row r="3476" spans="1:10" ht="15.75" x14ac:dyDescent="0.3">
      <c r="A3476" s="12" t="str">
        <f>HYPERLINK("https://parts-sales.ru/parts/MAN/81916010022","81.91601-0022")</f>
        <v>81.91601-0022</v>
      </c>
      <c r="B3476" s="12" t="str">
        <f>HYPERLINK("https://parts-sales.ru/parts/MAN/81916010022","Шайба")</f>
        <v>Шайба</v>
      </c>
      <c r="C3476" s="3" t="s">
        <v>6</v>
      </c>
      <c r="D3476" s="4">
        <v>1358.4</v>
      </c>
      <c r="E3476" s="4">
        <v>418</v>
      </c>
      <c r="F3476" s="8">
        <v>0.69</v>
      </c>
      <c r="H3476" s="11"/>
      <c r="I3476" s="11"/>
      <c r="J3476" s="11"/>
    </row>
    <row r="3477" spans="1:10" ht="15.75" x14ac:dyDescent="0.3">
      <c r="A3477" s="13" t="str">
        <f>HYPERLINK("https://parts-sales.ru/parts/MAN/81917010456","81.91701-0456")</f>
        <v>81.91701-0456</v>
      </c>
      <c r="B3477" s="13" t="str">
        <f>HYPERLINK("https://parts-sales.ru/parts/MAN/81917010456","Втулка")</f>
        <v>Втулка</v>
      </c>
      <c r="C3477" s="5" t="s">
        <v>6</v>
      </c>
      <c r="D3477" s="6">
        <v>8100</v>
      </c>
      <c r="E3477" s="6">
        <v>1532</v>
      </c>
      <c r="F3477" s="9">
        <v>0.81</v>
      </c>
      <c r="H3477" s="11"/>
      <c r="I3477" s="11"/>
      <c r="J3477" s="11"/>
    </row>
    <row r="3478" spans="1:10" ht="15.75" x14ac:dyDescent="0.3">
      <c r="A3478" s="12" t="str">
        <f>HYPERLINK("https://parts-sales.ru/parts/MAN/81917100150","81.91710-0150")</f>
        <v>81.91710-0150</v>
      </c>
      <c r="B3478" s="12" t="str">
        <f>HYPERLINK("https://parts-sales.ru/parts/MAN/81917100150","Установочная шайба 70X79,90X3,60-ST35-BK")</f>
        <v>Установочная шайба 70X79,90X3,60-ST35-BK</v>
      </c>
      <c r="C3478" s="3" t="s">
        <v>6</v>
      </c>
      <c r="D3478" s="4">
        <v>5632.8</v>
      </c>
      <c r="E3478" s="4">
        <v>1298</v>
      </c>
      <c r="F3478" s="8">
        <v>0.77</v>
      </c>
      <c r="H3478" s="11"/>
      <c r="I3478" s="11"/>
      <c r="J3478" s="11"/>
    </row>
    <row r="3479" spans="1:10" ht="15.75" x14ac:dyDescent="0.3">
      <c r="A3479" s="13" t="str">
        <f>HYPERLINK("https://parts-sales.ru/parts/MAN/81917100163","81.91710-0163")</f>
        <v>81.91710-0163</v>
      </c>
      <c r="B3479" s="13" t="str">
        <f>HYPERLINK("https://parts-sales.ru/parts/MAN/81917100163","Распорная шайба")</f>
        <v>Распорная шайба</v>
      </c>
      <c r="C3479" s="5" t="s">
        <v>6</v>
      </c>
      <c r="D3479" s="6">
        <v>708</v>
      </c>
      <c r="E3479" s="6">
        <v>149</v>
      </c>
      <c r="F3479" s="9">
        <v>0.79</v>
      </c>
      <c r="H3479" s="11"/>
      <c r="I3479" s="11"/>
      <c r="J3479" s="11"/>
    </row>
    <row r="3480" spans="1:10" ht="15.75" x14ac:dyDescent="0.3">
      <c r="A3480" s="12" t="str">
        <f>HYPERLINK("https://parts-sales.ru/parts/MAN/81917100314","81.91710-0314")</f>
        <v>81.91710-0314</v>
      </c>
      <c r="B3480" s="12" t="str">
        <f>HYPERLINK("https://parts-sales.ru/parts/MAN/81917100314","Кольцо")</f>
        <v>Кольцо</v>
      </c>
      <c r="C3480" s="3" t="s">
        <v>6</v>
      </c>
      <c r="D3480" s="4">
        <v>1492.8</v>
      </c>
      <c r="E3480" s="4">
        <v>338</v>
      </c>
      <c r="F3480" s="8">
        <v>0.77</v>
      </c>
      <c r="H3480" s="11"/>
      <c r="I3480" s="11"/>
      <c r="J3480" s="11"/>
    </row>
    <row r="3481" spans="1:10" ht="15.75" x14ac:dyDescent="0.3">
      <c r="A3481" s="13" t="str">
        <f>HYPERLINK("https://parts-sales.ru/parts/MAN/81917100452","81.91710-0452")</f>
        <v>81.91710-0452</v>
      </c>
      <c r="B3481" s="13" t="str">
        <f>HYPERLINK("https://parts-sales.ru/parts/MAN/81917100452","Распорное кольцо")</f>
        <v>Распорное кольцо</v>
      </c>
      <c r="C3481" s="5" t="s">
        <v>6</v>
      </c>
      <c r="D3481" s="6">
        <v>1807.2</v>
      </c>
      <c r="E3481" s="6">
        <v>421</v>
      </c>
      <c r="F3481" s="9">
        <v>0.77</v>
      </c>
      <c r="H3481" s="11"/>
      <c r="I3481" s="11"/>
      <c r="J3481" s="11"/>
    </row>
    <row r="3482" spans="1:10" ht="15.75" x14ac:dyDescent="0.3">
      <c r="A3482" s="12" t="str">
        <f>HYPERLINK("https://parts-sales.ru/parts/MAN/81917100495","81.91710-0495")</f>
        <v>81.91710-0495</v>
      </c>
      <c r="B3482" s="12" t="str">
        <f>HYPERLINK("https://parts-sales.ru/parts/MAN/81917100495","Пружинное стопорное кольцо")</f>
        <v>Пружинное стопорное кольцо</v>
      </c>
      <c r="C3482" s="3" t="s">
        <v>6</v>
      </c>
      <c r="D3482" s="4">
        <v>376.8</v>
      </c>
      <c r="E3482" s="4">
        <v>87</v>
      </c>
      <c r="F3482" s="8">
        <v>0.77</v>
      </c>
      <c r="H3482" s="11"/>
      <c r="I3482" s="11"/>
      <c r="J3482" s="11"/>
    </row>
    <row r="3483" spans="1:10" ht="15.75" x14ac:dyDescent="0.3">
      <c r="A3483" s="13" t="str">
        <f>HYPERLINK("https://parts-sales.ru/parts/MAN/81917100515","81.91710-0515")</f>
        <v>81.91710-0515</v>
      </c>
      <c r="B3483" s="13" t="str">
        <f>HYPERLINK("https://parts-sales.ru/parts/MAN/81917100515","Распорное кольцо 3,20MM")</f>
        <v>Распорное кольцо 3,20MM</v>
      </c>
      <c r="C3483" s="5" t="s">
        <v>6</v>
      </c>
      <c r="D3483" s="6">
        <v>7312.8</v>
      </c>
      <c r="E3483" s="6">
        <v>1500</v>
      </c>
      <c r="F3483" s="9">
        <v>0.79</v>
      </c>
      <c r="H3483" s="11"/>
      <c r="I3483" s="11"/>
      <c r="J3483" s="11"/>
    </row>
    <row r="3484" spans="1:10" ht="15.75" x14ac:dyDescent="0.3">
      <c r="A3484" s="12" t="str">
        <f>HYPERLINK("https://parts-sales.ru/parts/MAN/81917100517","81.91710-0517")</f>
        <v>81.91710-0517</v>
      </c>
      <c r="B3484" s="12" t="str">
        <f>HYPERLINK("https://parts-sales.ru/parts/MAN/81917100517","Распорное кольцо 3,30MM")</f>
        <v>Распорное кольцо 3,30MM</v>
      </c>
      <c r="C3484" s="3" t="s">
        <v>6</v>
      </c>
      <c r="D3484" s="4">
        <v>7312.8</v>
      </c>
      <c r="E3484" s="4">
        <v>1500</v>
      </c>
      <c r="F3484" s="8">
        <v>0.79</v>
      </c>
      <c r="H3484" s="11"/>
      <c r="I3484" s="11"/>
      <c r="J3484" s="11"/>
    </row>
    <row r="3485" spans="1:10" ht="15.75" x14ac:dyDescent="0.3">
      <c r="A3485" s="13" t="str">
        <f>HYPERLINK("https://parts-sales.ru/parts/MAN/81917300074","81.91730-0074")</f>
        <v>81.91730-0074</v>
      </c>
      <c r="B3485" s="13" t="str">
        <f>HYPERLINK("https://parts-sales.ru/parts/MAN/81917300074","Втулка 8,4X11X58-KST-BR")</f>
        <v>Втулка 8,4X11X58-KST-BR</v>
      </c>
      <c r="C3485" s="5" t="s">
        <v>6</v>
      </c>
      <c r="D3485" s="6">
        <v>946.8</v>
      </c>
      <c r="E3485" s="6">
        <v>245</v>
      </c>
      <c r="F3485" s="9">
        <v>0.74</v>
      </c>
      <c r="H3485" s="11"/>
      <c r="I3485" s="11"/>
      <c r="J3485" s="11"/>
    </row>
    <row r="3486" spans="1:10" ht="15.75" x14ac:dyDescent="0.3">
      <c r="A3486" s="12" t="str">
        <f>HYPERLINK("https://parts-sales.ru/parts/MAN/81920100138","81.92010-0138")</f>
        <v>81.92010-0138</v>
      </c>
      <c r="B3486" s="12" t="str">
        <f>HYPERLINK("https://parts-sales.ru/parts/MAN/81920100138","Опорное кольцо")</f>
        <v>Опорное кольцо</v>
      </c>
      <c r="C3486" s="3" t="s">
        <v>6</v>
      </c>
      <c r="D3486" s="4">
        <v>920.4</v>
      </c>
      <c r="E3486" s="4">
        <v>214</v>
      </c>
      <c r="F3486" s="8">
        <v>0.77</v>
      </c>
      <c r="H3486" s="11"/>
      <c r="I3486" s="11"/>
      <c r="J3486" s="11"/>
    </row>
    <row r="3487" spans="1:10" ht="15.75" x14ac:dyDescent="0.3">
      <c r="A3487" s="13" t="str">
        <f>HYPERLINK("https://parts-sales.ru/parts/MAN/81922010108","81.92201-0108")</f>
        <v>81.92201-0108</v>
      </c>
      <c r="B3487" s="13" t="str">
        <f>HYPERLINK("https://parts-sales.ru/parts/MAN/81922010108","Пустотелая заклепка 8X18-ST-MAN183-B1")</f>
        <v>Пустотелая заклепка 8X18-ST-MAN183-B1</v>
      </c>
      <c r="C3487" s="5" t="s">
        <v>6</v>
      </c>
      <c r="D3487" s="6">
        <v>109.2</v>
      </c>
      <c r="E3487" s="6">
        <v>24</v>
      </c>
      <c r="F3487" s="9">
        <v>0.78</v>
      </c>
      <c r="H3487" s="11"/>
      <c r="I3487" s="11"/>
      <c r="J3487" s="11"/>
    </row>
    <row r="3488" spans="1:10" ht="15.75" x14ac:dyDescent="0.3">
      <c r="A3488" s="12" t="str">
        <f>HYPERLINK("https://parts-sales.ru/parts/MAN/81922010109","81.92201-0109")</f>
        <v>81.92201-0109</v>
      </c>
      <c r="B3488" s="12" t="str">
        <f>HYPERLINK("https://parts-sales.ru/parts/MAN/81922010109","Пустотелая заклепка 8X20-ST-MAN183-B1")</f>
        <v>Пустотелая заклепка 8X20-ST-MAN183-B1</v>
      </c>
      <c r="C3488" s="3" t="s">
        <v>6</v>
      </c>
      <c r="D3488" s="4">
        <v>126</v>
      </c>
      <c r="E3488" s="4">
        <v>33</v>
      </c>
      <c r="F3488" s="8">
        <v>0.74</v>
      </c>
      <c r="H3488" s="11"/>
      <c r="I3488" s="11"/>
      <c r="J3488" s="11"/>
    </row>
    <row r="3489" spans="1:10" ht="15.75" x14ac:dyDescent="0.3">
      <c r="A3489" s="13" t="str">
        <f>HYPERLINK("https://parts-sales.ru/parts/MAN/81922010115","81.92201-0115")</f>
        <v>81.92201-0115</v>
      </c>
      <c r="B3489" s="13" t="str">
        <f>HYPERLINK("https://parts-sales.ru/parts/MAN/81922010115","Насечная заклепка 6,8X8,5X11,7-4,2-9-PA1")</f>
        <v>Насечная заклепка 6,8X8,5X11,7-4,2-9-PA1</v>
      </c>
      <c r="C3489" s="5" t="s">
        <v>6</v>
      </c>
      <c r="D3489" s="6">
        <v>528</v>
      </c>
      <c r="E3489" s="6">
        <v>41</v>
      </c>
      <c r="F3489" s="9">
        <v>0.92</v>
      </c>
      <c r="H3489" s="11"/>
      <c r="I3489" s="11"/>
      <c r="J3489" s="11"/>
    </row>
    <row r="3490" spans="1:10" ht="15.75" x14ac:dyDescent="0.3">
      <c r="A3490" s="12" t="str">
        <f>HYPERLINK("https://parts-sales.ru/parts/MAN/81922020025","81.92202-0025")</f>
        <v>81.92202-0025</v>
      </c>
      <c r="B3490" s="12" t="str">
        <f>HYPERLINK("https://parts-sales.ru/parts/MAN/81922020025","Насечная заклепка 5,4X1,6X11-3-PA6.6-SW")</f>
        <v>Насечная заклепка 5,4X1,6X11-3-PA6.6-SW</v>
      </c>
      <c r="C3490" s="3" t="s">
        <v>6</v>
      </c>
      <c r="D3490" s="4">
        <v>420</v>
      </c>
      <c r="E3490" s="4">
        <v>77</v>
      </c>
      <c r="F3490" s="8">
        <v>0.82</v>
      </c>
      <c r="H3490" s="11"/>
      <c r="I3490" s="11"/>
      <c r="J3490" s="11"/>
    </row>
    <row r="3491" spans="1:10" ht="15.75" x14ac:dyDescent="0.3">
      <c r="A3491" s="13" t="str">
        <f>HYPERLINK("https://parts-sales.ru/parts/MAN/81922020032","81.92202-0032")</f>
        <v>81.92202-0032</v>
      </c>
      <c r="B3491" s="13" t="str">
        <f>HYPERLINK("https://parts-sales.ru/parts/MAN/81922020032","Насечная заклепка 7,9X3X12-5-POM-SW")</f>
        <v>Насечная заклепка 7,9X3X12-5-POM-SW</v>
      </c>
      <c r="C3491" s="5" t="s">
        <v>6</v>
      </c>
      <c r="D3491" s="6">
        <v>142.80000000000001</v>
      </c>
      <c r="E3491" s="6">
        <v>4</v>
      </c>
      <c r="F3491" s="9">
        <v>0.97</v>
      </c>
      <c r="H3491" s="11"/>
      <c r="I3491" s="11"/>
      <c r="J3491" s="11"/>
    </row>
    <row r="3492" spans="1:10" ht="15.75" x14ac:dyDescent="0.3">
      <c r="A3492" s="12" t="str">
        <f>HYPERLINK("https://parts-sales.ru/parts/MAN/81922020043","81.92202-0043")</f>
        <v>81.92202-0043</v>
      </c>
      <c r="B3492" s="12" t="str">
        <f>HYPERLINK("https://parts-sales.ru/parts/MAN/81922020043","Насечная заклепка 7,2X20/26-PA6-BEIGE")</f>
        <v>Насечная заклепка 7,2X20/26-PA6-BEIGE</v>
      </c>
      <c r="C3492" s="3" t="s">
        <v>6</v>
      </c>
      <c r="D3492" s="4">
        <v>108</v>
      </c>
      <c r="E3492" s="4">
        <v>16</v>
      </c>
      <c r="F3492" s="8">
        <v>0.85</v>
      </c>
      <c r="H3492" s="11"/>
      <c r="I3492" s="11"/>
      <c r="J3492" s="11"/>
    </row>
    <row r="3493" spans="1:10" ht="15.75" x14ac:dyDescent="0.3">
      <c r="A3493" s="13" t="str">
        <f>HYPERLINK("https://parts-sales.ru/parts/MAN/81922020044","81.92202-0044")</f>
        <v>81.92202-0044</v>
      </c>
      <c r="B3493" s="13" t="str">
        <f>HYPERLINK("https://parts-sales.ru/parts/MAN/81922020044","Насечная заклепка 7,2X20/26-PA6")</f>
        <v>Насечная заклепка 7,2X20/26-PA6</v>
      </c>
      <c r="C3493" s="5" t="s">
        <v>6</v>
      </c>
      <c r="D3493" s="6">
        <v>126</v>
      </c>
      <c r="E3493" s="6">
        <v>19</v>
      </c>
      <c r="F3493" s="9">
        <v>0.85</v>
      </c>
      <c r="H3493" s="11"/>
      <c r="I3493" s="11"/>
      <c r="J3493" s="11"/>
    </row>
    <row r="3494" spans="1:10" ht="15.75" x14ac:dyDescent="0.3">
      <c r="A3494" s="12" t="str">
        <f>HYPERLINK("https://parts-sales.ru/parts/MAN/81922020046","81.92202-0046")</f>
        <v>81.92202-0046</v>
      </c>
      <c r="B3494" s="12" t="str">
        <f>HYPERLINK("https://parts-sales.ru/parts/MAN/81922020046","Насечная заклепка 7,2X20/26-PA6")</f>
        <v>Насечная заклепка 7,2X20/26-PA6</v>
      </c>
      <c r="C3494" s="3" t="s">
        <v>6</v>
      </c>
      <c r="D3494" s="4">
        <v>378</v>
      </c>
      <c r="E3494" s="4">
        <v>44</v>
      </c>
      <c r="F3494" s="8">
        <v>0.88</v>
      </c>
      <c r="H3494" s="11"/>
      <c r="I3494" s="11"/>
      <c r="J3494" s="11"/>
    </row>
    <row r="3495" spans="1:10" ht="15.75" x14ac:dyDescent="0.3">
      <c r="A3495" s="13" t="str">
        <f>HYPERLINK("https://parts-sales.ru/parts/MAN/81930010411","81.93001-0411")</f>
        <v>81.93001-0411</v>
      </c>
      <c r="B3495" s="13" t="str">
        <f>HYPERLINK("https://parts-sales.ru/parts/MAN/81930010411","Подшипник скольжения")</f>
        <v>Подшипник скольжения</v>
      </c>
      <c r="C3495" s="5" t="s">
        <v>7</v>
      </c>
      <c r="D3495" s="6">
        <v>3915.6</v>
      </c>
      <c r="E3495" s="6">
        <v>1448</v>
      </c>
      <c r="F3495" s="9">
        <v>0.63</v>
      </c>
      <c r="H3495" s="11"/>
      <c r="I3495" s="11"/>
      <c r="J3495" s="11"/>
    </row>
    <row r="3496" spans="1:10" ht="15.75" x14ac:dyDescent="0.3">
      <c r="A3496" s="12" t="str">
        <f>HYPERLINK("https://parts-sales.ru/parts/MAN/81930010431","81.93001-0431")</f>
        <v>81.93001-0431</v>
      </c>
      <c r="B3496" s="12" t="str">
        <f>HYPERLINK("https://parts-sales.ru/parts/MAN/81930010431","Втулка подшипника внешний")</f>
        <v>Втулка подшипника внешний</v>
      </c>
      <c r="C3496" s="3" t="s">
        <v>7</v>
      </c>
      <c r="D3496" s="4">
        <v>2938.8</v>
      </c>
      <c r="E3496" s="4">
        <v>168</v>
      </c>
      <c r="F3496" s="8">
        <v>0.94</v>
      </c>
      <c r="H3496" s="11"/>
      <c r="I3496" s="11"/>
      <c r="J3496" s="11"/>
    </row>
    <row r="3497" spans="1:10" ht="15.75" x14ac:dyDescent="0.3">
      <c r="A3497" s="13" t="str">
        <f>HYPERLINK("https://parts-sales.ru/parts/MAN/81930010432","81.93001-0432")</f>
        <v>81.93001-0432</v>
      </c>
      <c r="B3497" s="13" t="str">
        <f>HYPERLINK("https://parts-sales.ru/parts/MAN/81930010432","Втулка подшипника внутренний")</f>
        <v>Втулка подшипника внутренний</v>
      </c>
      <c r="C3497" s="5" t="s">
        <v>7</v>
      </c>
      <c r="D3497" s="6">
        <v>2938.8</v>
      </c>
      <c r="E3497" s="6">
        <v>127</v>
      </c>
      <c r="F3497" s="9">
        <v>0.96</v>
      </c>
      <c r="H3497" s="11"/>
      <c r="I3497" s="11"/>
      <c r="J3497" s="11"/>
    </row>
    <row r="3498" spans="1:10" ht="15.75" x14ac:dyDescent="0.3">
      <c r="A3498" s="12" t="str">
        <f>HYPERLINK("https://parts-sales.ru/parts/MAN/81930200525","81.93020-0525")</f>
        <v>81.93020-0525</v>
      </c>
      <c r="B3498" s="12" t="str">
        <f>HYPERLINK("https://parts-sales.ru/parts/MAN/81930200525","Втулка подшипника A=20,00")</f>
        <v>Втулка подшипника A=20,00</v>
      </c>
      <c r="C3498" s="3" t="s">
        <v>7</v>
      </c>
      <c r="D3498" s="4">
        <v>7531.2</v>
      </c>
      <c r="E3498" s="4">
        <v>2207</v>
      </c>
      <c r="F3498" s="8">
        <v>0.71</v>
      </c>
      <c r="H3498" s="11"/>
      <c r="I3498" s="11"/>
      <c r="J3498" s="11"/>
    </row>
    <row r="3499" spans="1:10" ht="15.75" x14ac:dyDescent="0.3">
      <c r="A3499" s="13" t="str">
        <f>HYPERLINK("https://parts-sales.ru/parts/MAN/81482200162","81.48220-0162")</f>
        <v>81.48220-0162</v>
      </c>
      <c r="B3499" s="13" t="str">
        <f>HYPERLINK("https://parts-sales.ru/parts/MAN/81482200162","Основание педали")</f>
        <v>Основание педали</v>
      </c>
      <c r="C3499" s="5" t="s">
        <v>12</v>
      </c>
      <c r="D3499" s="6">
        <v>48885.599999999999</v>
      </c>
      <c r="E3499" s="6">
        <v>9897</v>
      </c>
      <c r="F3499" s="9">
        <v>0.8</v>
      </c>
      <c r="H3499" s="11"/>
      <c r="I3499" s="11"/>
      <c r="J3499" s="11"/>
    </row>
    <row r="3500" spans="1:10" ht="15.75" x14ac:dyDescent="0.3">
      <c r="A3500" s="12" t="str">
        <f>HYPERLINK("https://parts-sales.ru/parts/MAN/81482255146","81.48225-5146")</f>
        <v>81.48225-5146</v>
      </c>
      <c r="B3500" s="12" t="str">
        <f>HYPERLINK("https://parts-sales.ru/parts/MAN/81482255146","Педаль сцепления")</f>
        <v>Педаль сцепления</v>
      </c>
      <c r="C3500" s="3" t="s">
        <v>12</v>
      </c>
      <c r="D3500" s="4">
        <v>31582.720000000001</v>
      </c>
      <c r="E3500" s="4">
        <v>14686</v>
      </c>
      <c r="F3500" s="8">
        <v>0.53</v>
      </c>
      <c r="H3500" s="11"/>
      <c r="I3500" s="11"/>
      <c r="J3500" s="11"/>
    </row>
    <row r="3501" spans="1:10" ht="15.75" x14ac:dyDescent="0.3">
      <c r="A3501" s="13" t="str">
        <f>HYPERLINK("https://parts-sales.ru/parts/MAN/81482270006","81.48227-0006")</f>
        <v>81.48227-0006</v>
      </c>
      <c r="B3501" s="13" t="str">
        <f>HYPERLINK("https://parts-sales.ru/parts/MAN/81482270006","Чехол педали")</f>
        <v>Чехол педали</v>
      </c>
      <c r="C3501" s="5" t="s">
        <v>12</v>
      </c>
      <c r="D3501" s="6">
        <v>2572.8000000000002</v>
      </c>
      <c r="E3501" s="6">
        <v>714</v>
      </c>
      <c r="F3501" s="9">
        <v>0.72</v>
      </c>
      <c r="H3501" s="11"/>
      <c r="I3501" s="11"/>
      <c r="J3501" s="11"/>
    </row>
    <row r="3502" spans="1:10" ht="15.75" x14ac:dyDescent="0.3">
      <c r="A3502" s="12" t="str">
        <f>HYPERLINK("https://parts-sales.ru/parts/MAN/81491016081","81.49101-6081")</f>
        <v>81.49101-6081</v>
      </c>
      <c r="B3502" s="12" t="str">
        <f>HYPERLINK("https://parts-sales.ru/parts/MAN/81491016081","Центр. смазочный насос Recolube")</f>
        <v>Центр. смазочный насос Recolube</v>
      </c>
      <c r="C3502" s="3" t="s">
        <v>12</v>
      </c>
      <c r="D3502" s="4">
        <v>125598</v>
      </c>
      <c r="E3502" s="4">
        <v>27504</v>
      </c>
      <c r="F3502" s="8">
        <v>0.78</v>
      </c>
      <c r="H3502" s="11"/>
      <c r="I3502" s="11"/>
      <c r="J3502" s="11"/>
    </row>
    <row r="3503" spans="1:10" ht="15.75" x14ac:dyDescent="0.3">
      <c r="A3503" s="13" t="str">
        <f>HYPERLINK("https://parts-sales.ru/parts/MAN/81930210446","81.93021-0446")</f>
        <v>81.93021-0446</v>
      </c>
      <c r="B3503" s="13" t="str">
        <f>HYPERLINK("https://parts-sales.ru/parts/MAN/81930210446","Втулка подшипника")</f>
        <v>Втулка подшипника</v>
      </c>
      <c r="C3503" s="5" t="s">
        <v>7</v>
      </c>
      <c r="D3503" s="6">
        <v>9604.7999999999993</v>
      </c>
      <c r="E3503" s="6">
        <v>2017</v>
      </c>
      <c r="F3503" s="9">
        <v>0.79</v>
      </c>
      <c r="H3503" s="11"/>
      <c r="I3503" s="11"/>
      <c r="J3503" s="11"/>
    </row>
    <row r="3504" spans="1:10" ht="15.75" x14ac:dyDescent="0.3">
      <c r="A3504" s="12" t="str">
        <f>HYPERLINK("https://parts-sales.ru/parts/MAN/88521316003","88.52131-6003")</f>
        <v>88.52131-6003</v>
      </c>
      <c r="B3504" s="12" t="str">
        <f>HYPERLINK("https://parts-sales.ru/parts/MAN/88521316003","5/2направляющий распределитель")</f>
        <v>5/2направляющий распределитель</v>
      </c>
      <c r="C3504" s="3" t="s">
        <v>38</v>
      </c>
      <c r="D3504" s="4">
        <v>20839.82</v>
      </c>
      <c r="E3504" s="4">
        <v>13893</v>
      </c>
      <c r="F3504" s="8">
        <v>0.33</v>
      </c>
      <c r="H3504" s="11"/>
      <c r="I3504" s="11"/>
      <c r="J3504" s="11"/>
    </row>
    <row r="3505" spans="1:10" ht="15.75" x14ac:dyDescent="0.3">
      <c r="A3505" s="13" t="str">
        <f>HYPERLINK("https://parts-sales.ru/parts/MAN/09540040101","09.54004-0101")</f>
        <v>09.54004-0101</v>
      </c>
      <c r="B3505" s="13" t="str">
        <f>HYPERLINK("https://parts-sales.ru/parts/MAN/09540040101","Фильтровальный мат 2000X20000-WS")</f>
        <v>Фильтровальный мат 2000X20000-WS</v>
      </c>
      <c r="C3505" s="5" t="s">
        <v>12</v>
      </c>
      <c r="D3505" s="6">
        <v>4092</v>
      </c>
      <c r="E3505" s="6">
        <v>717</v>
      </c>
      <c r="F3505" s="9">
        <v>0.82</v>
      </c>
      <c r="H3505" s="11"/>
      <c r="I3505" s="11"/>
      <c r="J3505" s="11"/>
    </row>
    <row r="3506" spans="1:10" ht="15.75" x14ac:dyDescent="0.3">
      <c r="A3506" s="12" t="str">
        <f>HYPERLINK("https://parts-sales.ru/parts/MAN/33746010036","33.74601-0036")</f>
        <v>33.74601-0036</v>
      </c>
      <c r="B3506" s="12" t="str">
        <f>HYPERLINK("https://parts-sales.ru/parts/MAN/33746010036","Держатель")</f>
        <v>Держатель</v>
      </c>
      <c r="C3506" s="3" t="s">
        <v>12</v>
      </c>
      <c r="D3506" s="4">
        <v>2174.4</v>
      </c>
      <c r="E3506" s="4">
        <v>527</v>
      </c>
      <c r="F3506" s="8">
        <v>0.76</v>
      </c>
      <c r="H3506" s="11"/>
      <c r="I3506" s="11"/>
      <c r="J3506" s="11"/>
    </row>
    <row r="3507" spans="1:10" ht="15.75" x14ac:dyDescent="0.3">
      <c r="A3507" s="13" t="str">
        <f>HYPERLINK("https://parts-sales.ru/parts/MAN/81749400976","81.74940-0976")</f>
        <v>81.74940-0976</v>
      </c>
      <c r="B3507" s="13" t="str">
        <f>HYPERLINK("https://parts-sales.ru/parts/MAN/81749400976","Кулачок упр. закрытием клапана")</f>
        <v>Кулачок упр. закрытием клапана</v>
      </c>
      <c r="C3507" s="5" t="s">
        <v>12</v>
      </c>
      <c r="D3507" s="6">
        <v>11731.2</v>
      </c>
      <c r="E3507" s="6">
        <v>2575</v>
      </c>
      <c r="F3507" s="9">
        <v>0.78</v>
      </c>
      <c r="H3507" s="11"/>
      <c r="I3507" s="11"/>
      <c r="J3507" s="11"/>
    </row>
    <row r="3508" spans="1:10" ht="15.75" x14ac:dyDescent="0.3">
      <c r="A3508" s="12" t="str">
        <f>HYPERLINK("https://parts-sales.ru/parts/MAN/81749400980","81.74940-0980")</f>
        <v>81.74940-0980</v>
      </c>
      <c r="B3508" s="12" t="str">
        <f>HYPERLINK("https://parts-sales.ru/parts/MAN/81749400980","Зажим")</f>
        <v>Зажим</v>
      </c>
      <c r="C3508" s="3" t="s">
        <v>12</v>
      </c>
      <c r="D3508" s="4">
        <v>927.6</v>
      </c>
      <c r="E3508" s="4">
        <v>364</v>
      </c>
      <c r="F3508" s="8">
        <v>0.61</v>
      </c>
      <c r="H3508" s="11"/>
      <c r="I3508" s="11"/>
      <c r="J3508" s="11"/>
    </row>
    <row r="3509" spans="1:10" ht="15.75" x14ac:dyDescent="0.3">
      <c r="A3509" s="13" t="str">
        <f>HYPERLINK("https://parts-sales.ru/parts/MAN/88749400047","88.74940-0047")</f>
        <v>88.74940-0047</v>
      </c>
      <c r="B3509" s="13" t="str">
        <f>HYPERLINK("https://parts-sales.ru/parts/MAN/88749400047","Прикрывающая бленда")</f>
        <v>Прикрывающая бленда</v>
      </c>
      <c r="C3509" s="5" t="s">
        <v>12</v>
      </c>
      <c r="D3509" s="6">
        <v>1806</v>
      </c>
      <c r="E3509" s="6">
        <v>417</v>
      </c>
      <c r="F3509" s="9">
        <v>0.77</v>
      </c>
      <c r="H3509" s="11"/>
      <c r="I3509" s="11"/>
      <c r="J3509" s="11"/>
    </row>
    <row r="3510" spans="1:10" ht="15.75" x14ac:dyDescent="0.3">
      <c r="A3510" s="12" t="str">
        <f>HYPERLINK("https://parts-sales.ru/parts/MAN/09750060000","09.75006-0000")</f>
        <v>09.75006-0000</v>
      </c>
      <c r="B3510" s="12" t="str">
        <f>HYPERLINK("https://parts-sales.ru/parts/MAN/09750060000","Обмотка волокном")</f>
        <v>Обмотка волокном</v>
      </c>
      <c r="C3510" s="3" t="s">
        <v>12</v>
      </c>
      <c r="D3510" s="4">
        <v>585.6</v>
      </c>
      <c r="E3510" s="4">
        <v>97</v>
      </c>
      <c r="F3510" s="8">
        <v>0.83</v>
      </c>
      <c r="H3510" s="11"/>
      <c r="I3510" s="11"/>
      <c r="J3510" s="11"/>
    </row>
    <row r="3511" spans="1:10" ht="15.75" x14ac:dyDescent="0.3">
      <c r="A3511" s="13" t="str">
        <f>HYPERLINK("https://parts-sales.ru/parts/MAN/34751012042","34.75101-2042")</f>
        <v>34.75101-2042</v>
      </c>
      <c r="B3511" s="13" t="str">
        <f>HYPERLINK("https://parts-sales.ru/parts/MAN/34751012042","Лобовое стекло 2486X1569X7-VSG-SD-KLAR/H")</f>
        <v>Лобовое стекло 2486X1569X7-VSG-SD-KLAR/H</v>
      </c>
      <c r="C3511" s="5" t="s">
        <v>40</v>
      </c>
      <c r="D3511" s="6">
        <v>201663.79</v>
      </c>
      <c r="E3511" s="6">
        <v>134442</v>
      </c>
      <c r="F3511" s="9">
        <v>0.33</v>
      </c>
      <c r="H3511" s="11"/>
      <c r="I3511" s="11"/>
      <c r="J3511" s="11"/>
    </row>
    <row r="3512" spans="1:10" ht="15.75" x14ac:dyDescent="0.3">
      <c r="A3512" s="12" t="str">
        <f>HYPERLINK("https://parts-sales.ru/parts/MAN/81751040679","81.75104-0679")</f>
        <v>81.75104-0679</v>
      </c>
      <c r="B3512" s="12" t="str">
        <f>HYPERLINK("https://parts-sales.ru/parts/MAN/81751040679","Лобовое стекло 2486X1569/2030X330-VSG-SD")</f>
        <v>Лобовое стекло 2486X1569/2030X330-VSG-SD</v>
      </c>
      <c r="C3512" s="3" t="s">
        <v>40</v>
      </c>
      <c r="D3512" s="4">
        <v>211177.2</v>
      </c>
      <c r="E3512" s="4">
        <v>64333</v>
      </c>
      <c r="F3512" s="8">
        <v>0.7</v>
      </c>
      <c r="H3512" s="11"/>
      <c r="I3512" s="11"/>
      <c r="J3512" s="11"/>
    </row>
    <row r="3513" spans="1:10" ht="15.75" x14ac:dyDescent="0.3">
      <c r="A3513" s="13" t="str">
        <f>HYPERLINK("https://parts-sales.ru/parts/MAN/81934020128","81.93402-0128")</f>
        <v>81.93402-0128</v>
      </c>
      <c r="B3513" s="13" t="str">
        <f>HYPERLINK("https://parts-sales.ru/parts/MAN/81934020128","Сепаратор игольч. подшипника K45X57X25")</f>
        <v>Сепаратор игольч. подшипника K45X57X25</v>
      </c>
      <c r="C3513" s="5" t="s">
        <v>7</v>
      </c>
      <c r="D3513" s="6">
        <v>6602.4</v>
      </c>
      <c r="E3513" s="6">
        <v>1225</v>
      </c>
      <c r="F3513" s="9">
        <v>0.81</v>
      </c>
      <c r="H3513" s="11"/>
      <c r="I3513" s="11"/>
      <c r="J3513" s="11"/>
    </row>
    <row r="3514" spans="1:10" ht="15.75" x14ac:dyDescent="0.3">
      <c r="A3514" s="12" t="str">
        <f>HYPERLINK("https://parts-sales.ru/parts/MAN/81934030027","81.93403-0027")</f>
        <v>81.93403-0027</v>
      </c>
      <c r="B3514" s="12" t="str">
        <f>HYPERLINK("https://parts-sales.ru/parts/MAN/81934030027","Ролик игольчатого подшипника")</f>
        <v>Ролик игольчатого подшипника</v>
      </c>
      <c r="C3514" s="3" t="s">
        <v>7</v>
      </c>
      <c r="D3514" s="4">
        <v>508.8</v>
      </c>
      <c r="E3514" s="4">
        <v>160</v>
      </c>
      <c r="F3514" s="8">
        <v>0.69</v>
      </c>
      <c r="H3514" s="11"/>
      <c r="I3514" s="11"/>
      <c r="J3514" s="11"/>
    </row>
    <row r="3515" spans="1:10" ht="15.75" x14ac:dyDescent="0.3">
      <c r="A3515" s="13" t="str">
        <f>HYPERLINK("https://parts-sales.ru/parts/MAN/81934200337","81.93420-0337")</f>
        <v>81.93420-0337</v>
      </c>
      <c r="B3515" s="13" t="str">
        <f>HYPERLINK("https://parts-sales.ru/parts/MAN/81934200337","Блок конич. роликоподшипников 55X145X95-")</f>
        <v>Блок конич. роликоподшипников 55X145X95-</v>
      </c>
      <c r="C3515" s="5" t="s">
        <v>7</v>
      </c>
      <c r="D3515" s="6">
        <v>128613.6</v>
      </c>
      <c r="E3515" s="6">
        <v>37753</v>
      </c>
      <c r="F3515" s="9">
        <v>0.71</v>
      </c>
      <c r="H3515" s="11"/>
      <c r="I3515" s="11"/>
      <c r="J3515" s="11"/>
    </row>
    <row r="3516" spans="1:10" ht="15.75" x14ac:dyDescent="0.3">
      <c r="A3516" s="12" t="str">
        <f>HYPERLINK("https://parts-sales.ru/parts/MAN/81934200419","81.93420-0419")</f>
        <v>81.93420-0419</v>
      </c>
      <c r="B3516" s="12" t="str">
        <f>HYPERLINK("https://parts-sales.ru/parts/MAN/81934200419","Роликоподшипник")</f>
        <v>Роликоподшипник</v>
      </c>
      <c r="C3516" s="3" t="s">
        <v>7</v>
      </c>
      <c r="D3516" s="4">
        <v>15690</v>
      </c>
      <c r="E3516" s="4">
        <v>3914</v>
      </c>
      <c r="F3516" s="8">
        <v>0.75</v>
      </c>
      <c r="H3516" s="11"/>
      <c r="I3516" s="11"/>
      <c r="J3516" s="11"/>
    </row>
    <row r="3517" spans="1:10" ht="15.75" x14ac:dyDescent="0.3">
      <c r="A3517" s="13" t="str">
        <f>HYPERLINK("https://parts-sales.ru/parts/MAN/88751030067","88.75103-0067")</f>
        <v>88.75103-0067</v>
      </c>
      <c r="B3517" s="13" t="str">
        <f>HYPERLINK("https://parts-sales.ru/parts/MAN/88751030067","Лобовое стекло 2497X1591-VSG-SD-HB-GNGT")</f>
        <v>Лобовое стекло 2497X1591-VSG-SD-HB-GNGT</v>
      </c>
      <c r="C3517" s="5" t="s">
        <v>40</v>
      </c>
      <c r="D3517" s="6">
        <v>197398.42</v>
      </c>
      <c r="E3517" s="6">
        <v>58527</v>
      </c>
      <c r="F3517" s="9">
        <v>0.7</v>
      </c>
      <c r="H3517" s="11"/>
      <c r="I3517" s="11"/>
      <c r="J3517" s="11"/>
    </row>
    <row r="3518" spans="1:10" ht="15.75" x14ac:dyDescent="0.3">
      <c r="A3518" s="12" t="str">
        <f>HYPERLINK("https://parts-sales.ru/parts/MAN/81934200433","81.93420-0433")</f>
        <v>81.93420-0433</v>
      </c>
      <c r="B3518" s="12" t="str">
        <f>HYPERLINK("https://parts-sales.ru/parts/MAN/81934200433","Конич. роликовый подшипник 50,0X90,0X28,")</f>
        <v>Конич. роликовый подшипник 50,0X90,0X28,</v>
      </c>
      <c r="C3518" s="3" t="s">
        <v>7</v>
      </c>
      <c r="D3518" s="4">
        <v>31599.599999999999</v>
      </c>
      <c r="E3518" s="4">
        <v>9288</v>
      </c>
      <c r="F3518" s="8">
        <v>0.71</v>
      </c>
      <c r="H3518" s="11"/>
      <c r="I3518" s="11"/>
      <c r="J3518" s="11"/>
    </row>
    <row r="3519" spans="1:10" ht="15.75" x14ac:dyDescent="0.3">
      <c r="A3519" s="13" t="str">
        <f>HYPERLINK("https://parts-sales.ru/parts/MAN/88759012008","88.75901-2008")</f>
        <v>88.75901-2008</v>
      </c>
      <c r="B3519" s="13" t="str">
        <f>HYPERLINK("https://parts-sales.ru/parts/MAN/88759012008","Распорка")</f>
        <v>Распорка</v>
      </c>
      <c r="C3519" s="5" t="s">
        <v>12</v>
      </c>
      <c r="D3519" s="6">
        <v>579.6</v>
      </c>
      <c r="E3519" s="6">
        <v>143</v>
      </c>
      <c r="F3519" s="9">
        <v>0.75</v>
      </c>
      <c r="H3519" s="11"/>
      <c r="I3519" s="11"/>
      <c r="J3519" s="11"/>
    </row>
    <row r="3520" spans="1:10" ht="15.75" x14ac:dyDescent="0.3">
      <c r="A3520" s="12" t="str">
        <f>HYPERLINK("https://parts-sales.ru/parts/MAN/34779406005","34.77940-6005")</f>
        <v>34.77940-6005</v>
      </c>
      <c r="B3520" s="12" t="str">
        <f>HYPERLINK("https://parts-sales.ru/parts/MAN/34779406005","Предохранительный лист")</f>
        <v>Предохранительный лист</v>
      </c>
      <c r="C3520" s="3" t="s">
        <v>16</v>
      </c>
      <c r="D3520" s="4">
        <v>9721.01</v>
      </c>
      <c r="E3520" s="4">
        <v>4060</v>
      </c>
      <c r="F3520" s="8">
        <v>0.57999999999999996</v>
      </c>
      <c r="H3520" s="11"/>
      <c r="I3520" s="11"/>
      <c r="J3520" s="11"/>
    </row>
    <row r="3521" spans="1:10" ht="15.75" x14ac:dyDescent="0.3">
      <c r="A3521" s="13" t="str">
        <f>HYPERLINK("https://parts-sales.ru/parts/MAN/81779100029","81.77910-0029")</f>
        <v>81.77910-0029</v>
      </c>
      <c r="B3521" s="13" t="str">
        <f>HYPERLINK("https://parts-sales.ru/parts/MAN/81779100029","Фильтровальный мат")</f>
        <v>Фильтровальный мат</v>
      </c>
      <c r="C3521" s="5" t="s">
        <v>16</v>
      </c>
      <c r="D3521" s="6">
        <v>3561.6</v>
      </c>
      <c r="E3521" s="6">
        <v>718</v>
      </c>
      <c r="F3521" s="9">
        <v>0.8</v>
      </c>
      <c r="H3521" s="11"/>
      <c r="I3521" s="11"/>
      <c r="J3521" s="11"/>
    </row>
    <row r="3522" spans="1:10" ht="15.75" x14ac:dyDescent="0.3">
      <c r="A3522" s="12" t="str">
        <f>HYPERLINK("https://parts-sales.ru/parts/MAN/81779100033","81.77910-0033")</f>
        <v>81.77910-0033</v>
      </c>
      <c r="B3522" s="12" t="str">
        <f>HYPERLINK("https://parts-sales.ru/parts/MAN/81779100033","Салонный фильтр")</f>
        <v>Салонный фильтр</v>
      </c>
      <c r="C3522" s="3" t="s">
        <v>16</v>
      </c>
      <c r="D3522" s="4">
        <v>13594.8</v>
      </c>
      <c r="E3522" s="4">
        <v>4896</v>
      </c>
      <c r="F3522" s="8">
        <v>0.64</v>
      </c>
      <c r="H3522" s="11"/>
      <c r="I3522" s="11"/>
      <c r="J3522" s="11"/>
    </row>
    <row r="3523" spans="1:10" ht="15.75" x14ac:dyDescent="0.3">
      <c r="A3523" s="13" t="str">
        <f>HYPERLINK("https://parts-sales.ru/parts/MAN/81779136004","81.77913-6004")</f>
        <v>81.77913-6004</v>
      </c>
      <c r="B3523" s="13" t="str">
        <f>HYPERLINK("https://parts-sales.ru/parts/MAN/81779136004","Топливный шланг Пригодный для рапсового")</f>
        <v>Топливный шланг Пригодный для рапсового</v>
      </c>
      <c r="C3523" s="5" t="s">
        <v>16</v>
      </c>
      <c r="D3523" s="6">
        <v>7161.6</v>
      </c>
      <c r="E3523" s="6">
        <v>1258</v>
      </c>
      <c r="F3523" s="9">
        <v>0.82</v>
      </c>
      <c r="H3523" s="11"/>
      <c r="I3523" s="11"/>
      <c r="J3523" s="11"/>
    </row>
    <row r="3524" spans="1:10" ht="15.75" x14ac:dyDescent="0.3">
      <c r="A3524" s="12" t="str">
        <f>HYPERLINK("https://parts-sales.ru/parts/MAN/81779300004","81.77930-0004")</f>
        <v>81.77930-0004</v>
      </c>
      <c r="B3524" s="12" t="str">
        <f>HYPERLINK("https://parts-sales.ru/parts/MAN/81779300004","Вентилятор")</f>
        <v>Вентилятор</v>
      </c>
      <c r="C3524" s="3" t="s">
        <v>16</v>
      </c>
      <c r="D3524" s="4">
        <v>28098.14</v>
      </c>
      <c r="E3524" s="4">
        <v>13117</v>
      </c>
      <c r="F3524" s="8">
        <v>0.53</v>
      </c>
      <c r="H3524" s="11"/>
      <c r="I3524" s="11"/>
      <c r="J3524" s="11"/>
    </row>
    <row r="3525" spans="1:10" ht="15.75" x14ac:dyDescent="0.3">
      <c r="A3525" s="13" t="str">
        <f>HYPERLINK("https://parts-sales.ru/parts/MAN/81779310002","81.77931-0002")</f>
        <v>81.77931-0002</v>
      </c>
      <c r="B3525" s="13" t="str">
        <f>HYPERLINK("https://parts-sales.ru/parts/MAN/81779310002","Стопорная шайба")</f>
        <v>Стопорная шайба</v>
      </c>
      <c r="C3525" s="5" t="s">
        <v>16</v>
      </c>
      <c r="D3525" s="6">
        <v>1972.8</v>
      </c>
      <c r="E3525" s="6">
        <v>346</v>
      </c>
      <c r="F3525" s="9">
        <v>0.82</v>
      </c>
      <c r="H3525" s="11"/>
      <c r="I3525" s="11"/>
      <c r="J3525" s="11"/>
    </row>
    <row r="3526" spans="1:10" ht="15.75" x14ac:dyDescent="0.3">
      <c r="A3526" s="12" t="str">
        <f>HYPERLINK("https://parts-sales.ru/parts/MAN/81779500081","81.77950-0081")</f>
        <v>81.77950-0081</v>
      </c>
      <c r="B3526" s="12" t="str">
        <f>HYPERLINK("https://parts-sales.ru/parts/MAN/81779500081","Топливная форсунка")</f>
        <v>Топливная форсунка</v>
      </c>
      <c r="C3526" s="3" t="s">
        <v>16</v>
      </c>
      <c r="D3526" s="4">
        <v>8026.8</v>
      </c>
      <c r="E3526" s="4">
        <v>1264</v>
      </c>
      <c r="F3526" s="8">
        <v>0.84</v>
      </c>
      <c r="H3526" s="11"/>
      <c r="I3526" s="11"/>
      <c r="J3526" s="11"/>
    </row>
    <row r="3527" spans="1:10" ht="15.75" x14ac:dyDescent="0.3">
      <c r="A3527" s="13" t="str">
        <f>HYPERLINK("https://parts-sales.ru/parts/MAN/81779890015","81.77989-0015")</f>
        <v>81.77989-0015</v>
      </c>
      <c r="B3527" s="13" t="str">
        <f>HYPERLINK("https://parts-sales.ru/parts/MAN/81779890015","Уплотнительная шайба 34X42X1-PAP")</f>
        <v>Уплотнительная шайба 34X42X1-PAP</v>
      </c>
      <c r="C3527" s="5" t="s">
        <v>16</v>
      </c>
      <c r="D3527" s="6">
        <v>577.20000000000005</v>
      </c>
      <c r="E3527" s="6">
        <v>208</v>
      </c>
      <c r="F3527" s="9">
        <v>0.64</v>
      </c>
      <c r="H3527" s="11"/>
      <c r="I3527" s="11"/>
      <c r="J3527" s="11"/>
    </row>
    <row r="3528" spans="1:10" ht="15.75" x14ac:dyDescent="0.3">
      <c r="A3528" s="12" t="str">
        <f>HYPERLINK("https://parts-sales.ru/parts/MAN/09810060055","09.81006-0055")</f>
        <v>09.81006-0055</v>
      </c>
      <c r="B3528" s="12" t="str">
        <f>HYPERLINK("https://parts-sales.ru/parts/MAN/09810060055","Целлофановый пакет 240X300-PE-TR")</f>
        <v>Целлофановый пакет 240X300-PE-TR</v>
      </c>
      <c r="C3528" s="3" t="s">
        <v>12</v>
      </c>
      <c r="D3528" s="4">
        <v>333.6</v>
      </c>
      <c r="E3528" s="4">
        <v>28</v>
      </c>
      <c r="F3528" s="8">
        <v>0.92</v>
      </c>
      <c r="H3528" s="11"/>
      <c r="I3528" s="11"/>
      <c r="J3528" s="11"/>
    </row>
    <row r="3529" spans="1:10" ht="15.75" x14ac:dyDescent="0.3">
      <c r="A3529" s="13" t="str">
        <f>HYPERLINK("https://parts-sales.ru/parts/MAN/09810201000","09.81020-1000")</f>
        <v>09.81020-1000</v>
      </c>
      <c r="B3529" s="13" t="str">
        <f>HYPERLINK("https://parts-sales.ru/parts/MAN/09810201000","Защитная гильза 30X200-360 MM")</f>
        <v>Защитная гильза 30X200-360 MM</v>
      </c>
      <c r="C3529" s="5" t="s">
        <v>12</v>
      </c>
      <c r="D3529" s="6">
        <v>828</v>
      </c>
      <c r="E3529" s="6">
        <v>127</v>
      </c>
      <c r="F3529" s="9">
        <v>0.85</v>
      </c>
      <c r="H3529" s="11"/>
      <c r="I3529" s="11"/>
      <c r="J3529" s="11"/>
    </row>
    <row r="3530" spans="1:10" ht="15.75" x14ac:dyDescent="0.3">
      <c r="A3530" s="12" t="str">
        <f>HYPERLINK("https://parts-sales.ru/parts/MAN/09811010006","09.81101-0006")</f>
        <v>09.81101-0006</v>
      </c>
      <c r="B3530" s="12" t="str">
        <f>HYPERLINK("https://parts-sales.ru/parts/MAN/09811010006","Лента для крепления")</f>
        <v>Лента для крепления</v>
      </c>
      <c r="C3530" s="3" t="s">
        <v>12</v>
      </c>
      <c r="D3530" s="4">
        <v>3663.6</v>
      </c>
      <c r="E3530" s="4">
        <v>50</v>
      </c>
      <c r="F3530" s="8">
        <v>0.99</v>
      </c>
      <c r="H3530" s="11"/>
      <c r="I3530" s="11"/>
      <c r="J3530" s="11"/>
    </row>
    <row r="3531" spans="1:10" ht="15.75" x14ac:dyDescent="0.3">
      <c r="A3531" s="13" t="str">
        <f>HYPERLINK("https://parts-sales.ru/parts/MAN/65922020013","65.92202-0013")</f>
        <v>65.92202-0013</v>
      </c>
      <c r="B3531" s="13" t="str">
        <f>HYPERLINK("https://parts-sales.ru/parts/MAN/65922020013","Насечная заклепка")</f>
        <v>Насечная заклепка</v>
      </c>
      <c r="C3531" s="5" t="s">
        <v>12</v>
      </c>
      <c r="D3531" s="6">
        <v>62.4</v>
      </c>
      <c r="E3531" s="6">
        <v>14</v>
      </c>
      <c r="F3531" s="9">
        <v>0.78</v>
      </c>
      <c r="H3531" s="11"/>
      <c r="I3531" s="11"/>
      <c r="J3531" s="11"/>
    </row>
    <row r="3532" spans="1:10" ht="15.75" x14ac:dyDescent="0.3">
      <c r="A3532" s="12" t="str">
        <f>HYPERLINK("https://parts-sales.ru/parts/MAN/65926200001","65.92620-0001")</f>
        <v>65.92620-0001</v>
      </c>
      <c r="B3532" s="12" t="str">
        <f>HYPERLINK("https://parts-sales.ru/parts/MAN/65926200001","Скоба 20,20X1,8")</f>
        <v>Скоба 20,20X1,8</v>
      </c>
      <c r="C3532" s="3" t="s">
        <v>12</v>
      </c>
      <c r="D3532" s="4">
        <v>58.8</v>
      </c>
      <c r="E3532" s="4">
        <v>10</v>
      </c>
      <c r="F3532" s="8">
        <v>0.83</v>
      </c>
      <c r="H3532" s="11"/>
      <c r="I3532" s="11"/>
      <c r="J3532" s="11"/>
    </row>
    <row r="3533" spans="1:10" ht="15.75" x14ac:dyDescent="0.3">
      <c r="A3533" s="13" t="str">
        <f>HYPERLINK("https://parts-sales.ru/parts/MAN/81925010030","81.92501-0030")</f>
        <v>81.92501-0030</v>
      </c>
      <c r="B3533" s="13" t="str">
        <f>HYPERLINK("https://parts-sales.ru/parts/MAN/81925010030","Канатный прессов. зажим")</f>
        <v>Канатный прессов. зажим</v>
      </c>
      <c r="C3533" s="5" t="s">
        <v>12</v>
      </c>
      <c r="D3533" s="6">
        <v>182.4</v>
      </c>
      <c r="E3533" s="6">
        <v>34</v>
      </c>
      <c r="F3533" s="9">
        <v>0.81</v>
      </c>
      <c r="H3533" s="11"/>
      <c r="I3533" s="11"/>
      <c r="J3533" s="11"/>
    </row>
    <row r="3534" spans="1:10" ht="15.75" x14ac:dyDescent="0.3">
      <c r="A3534" s="12" t="str">
        <f>HYPERLINK("https://parts-sales.ru/parts/MAN/81926115032","81.92611-5032")</f>
        <v>81.92611-5032</v>
      </c>
      <c r="B3534" s="12" t="str">
        <f>HYPERLINK("https://parts-sales.ru/parts/MAN/81926115032","Трос")</f>
        <v>Трос</v>
      </c>
      <c r="C3534" s="3" t="s">
        <v>12</v>
      </c>
      <c r="D3534" s="4">
        <v>5875.2</v>
      </c>
      <c r="E3534" s="4">
        <v>1456</v>
      </c>
      <c r="F3534" s="8">
        <v>0.75</v>
      </c>
      <c r="H3534" s="11"/>
      <c r="I3534" s="11"/>
      <c r="J3534" s="11"/>
    </row>
    <row r="3535" spans="1:10" ht="15.75" x14ac:dyDescent="0.3">
      <c r="A3535" s="13" t="str">
        <f>HYPERLINK("https://parts-sales.ru/parts/MAN/81926115034","81.92611-5034")</f>
        <v>81.92611-5034</v>
      </c>
      <c r="B3535" s="13" t="str">
        <f>HYPERLINK("https://parts-sales.ru/parts/MAN/81926115034","Предохранительный трос 3X120/6,5-EDELSTA")</f>
        <v>Предохранительный трос 3X120/6,5-EDELSTA</v>
      </c>
      <c r="C3535" s="5" t="s">
        <v>12</v>
      </c>
      <c r="D3535" s="6">
        <v>7136.4</v>
      </c>
      <c r="E3535" s="6">
        <v>1084</v>
      </c>
      <c r="F3535" s="9">
        <v>0.85</v>
      </c>
      <c r="H3535" s="11"/>
      <c r="I3535" s="11"/>
      <c r="J3535" s="11"/>
    </row>
    <row r="3536" spans="1:10" ht="15.75" x14ac:dyDescent="0.3">
      <c r="A3536" s="12" t="str">
        <f>HYPERLINK("https://parts-sales.ru/parts/MAN/81926200031","81.92620-0031")</f>
        <v>81.92620-0031</v>
      </c>
      <c r="B3536" s="12" t="str">
        <f>HYPERLINK("https://parts-sales.ru/parts/MAN/81926200031","Крюк")</f>
        <v>Крюк</v>
      </c>
      <c r="C3536" s="3" t="s">
        <v>12</v>
      </c>
      <c r="D3536" s="4">
        <v>675.6</v>
      </c>
      <c r="E3536" s="4">
        <v>235</v>
      </c>
      <c r="F3536" s="8">
        <v>0.65</v>
      </c>
      <c r="H3536" s="11"/>
      <c r="I3536" s="11"/>
      <c r="J3536" s="11"/>
    </row>
    <row r="3537" spans="1:10" ht="15.75" x14ac:dyDescent="0.3">
      <c r="A3537" s="13" t="str">
        <f>HYPERLINK("https://parts-sales.ru/parts/MAN/81930010192","81.93001-0192")</f>
        <v>81.93001-0192</v>
      </c>
      <c r="B3537" s="13" t="str">
        <f>HYPERLINK("https://parts-sales.ru/parts/MAN/81930010192","Втулка")</f>
        <v>Втулка</v>
      </c>
      <c r="C3537" s="5" t="s">
        <v>12</v>
      </c>
      <c r="D3537" s="6">
        <v>754.8</v>
      </c>
      <c r="E3537" s="6">
        <v>23</v>
      </c>
      <c r="F3537" s="9">
        <v>0.97</v>
      </c>
      <c r="H3537" s="11"/>
      <c r="I3537" s="11"/>
      <c r="J3537" s="11"/>
    </row>
    <row r="3538" spans="1:10" ht="15.75" x14ac:dyDescent="0.3">
      <c r="A3538" s="12" t="str">
        <f>HYPERLINK("https://parts-sales.ru/parts/MAN/81930010418","81.93001-0418")</f>
        <v>81.93001-0418</v>
      </c>
      <c r="B3538" s="12" t="str">
        <f>HYPERLINK("https://parts-sales.ru/parts/MAN/81930010418","Втулка крепления спойлера")</f>
        <v>Втулка крепления спойлера</v>
      </c>
      <c r="C3538" s="3" t="s">
        <v>12</v>
      </c>
      <c r="D3538" s="4">
        <v>32.4</v>
      </c>
      <c r="E3538" s="4">
        <v>13</v>
      </c>
      <c r="F3538" s="8">
        <v>0.6</v>
      </c>
      <c r="H3538" s="11"/>
      <c r="I3538" s="11"/>
      <c r="J3538" s="11"/>
    </row>
    <row r="3539" spans="1:10" ht="15.75" x14ac:dyDescent="0.3">
      <c r="A3539" s="13" t="str">
        <f>HYPERLINK("https://parts-sales.ru/parts/MAN/81960010054","81.96001-0054")</f>
        <v>81.96001-0054</v>
      </c>
      <c r="B3539" s="13" t="str">
        <f>HYPERLINK("https://parts-sales.ru/parts/MAN/81960010054","Наконечник 3X0,6X25-CR")</f>
        <v>Наконечник 3X0,6X25-CR</v>
      </c>
      <c r="C3539" s="5" t="s">
        <v>14</v>
      </c>
      <c r="D3539" s="6">
        <v>385.2</v>
      </c>
      <c r="E3539" s="6">
        <v>93</v>
      </c>
      <c r="F3539" s="9">
        <v>0.76</v>
      </c>
      <c r="H3539" s="11"/>
      <c r="I3539" s="11"/>
      <c r="J3539" s="11"/>
    </row>
    <row r="3540" spans="1:10" ht="15.75" x14ac:dyDescent="0.3">
      <c r="A3540" s="12" t="str">
        <f>HYPERLINK("https://parts-sales.ru/parts/MAN/81960010290","81.96001-0290")</f>
        <v>81.96001-0290</v>
      </c>
      <c r="B3540" s="12" t="str">
        <f>HYPERLINK("https://parts-sales.ru/parts/MAN/81960010290","Наконечник")</f>
        <v>Наконечник</v>
      </c>
      <c r="C3540" s="3" t="s">
        <v>14</v>
      </c>
      <c r="D3540" s="4">
        <v>556.79999999999995</v>
      </c>
      <c r="E3540" s="4">
        <v>139</v>
      </c>
      <c r="F3540" s="8">
        <v>0.75</v>
      </c>
      <c r="H3540" s="11"/>
      <c r="I3540" s="11"/>
      <c r="J3540" s="11"/>
    </row>
    <row r="3541" spans="1:10" ht="15.75" x14ac:dyDescent="0.3">
      <c r="A3541" s="13" t="str">
        <f>HYPERLINK("https://parts-sales.ru/parts/MAN/81960010496","81.96001-0496")</f>
        <v>81.96001-0496</v>
      </c>
      <c r="B3541" s="13" t="str">
        <f>HYPERLINK("https://parts-sales.ru/parts/MAN/81960010496","Наконечник 10,5X16,5-16-20-SW")</f>
        <v>Наконечник 10,5X16,5-16-20-SW</v>
      </c>
      <c r="C3541" s="5" t="s">
        <v>14</v>
      </c>
      <c r="D3541" s="6">
        <v>666</v>
      </c>
      <c r="E3541" s="6">
        <v>4</v>
      </c>
      <c r="F3541" s="9">
        <v>0.99</v>
      </c>
      <c r="H3541" s="11"/>
      <c r="I3541" s="11"/>
      <c r="J3541" s="11"/>
    </row>
    <row r="3542" spans="1:10" ht="15.75" x14ac:dyDescent="0.3">
      <c r="A3542" s="12" t="str">
        <f>HYPERLINK("https://parts-sales.ru/parts/MAN/81960010519","81.96001-0519")</f>
        <v>81.96001-0519</v>
      </c>
      <c r="B3542" s="12" t="str">
        <f>HYPERLINK("https://parts-sales.ru/parts/MAN/81960010519","Наконечник 25X15-35-50-SBR4-70-SW")</f>
        <v>Наконечник 25X15-35-50-SBR4-70-SW</v>
      </c>
      <c r="C3542" s="3" t="s">
        <v>14</v>
      </c>
      <c r="D3542" s="4">
        <v>730.8</v>
      </c>
      <c r="E3542" s="4">
        <v>33</v>
      </c>
      <c r="F3542" s="8">
        <v>0.95</v>
      </c>
      <c r="H3542" s="11"/>
      <c r="I3542" s="11"/>
      <c r="J3542" s="11"/>
    </row>
    <row r="3543" spans="1:10" ht="15.75" x14ac:dyDescent="0.3">
      <c r="A3543" s="13" t="str">
        <f>HYPERLINK("https://parts-sales.ru/parts/MAN/81960010528","81.96001-0528")</f>
        <v>81.96001-0528</v>
      </c>
      <c r="B3543" s="13" t="str">
        <f>HYPERLINK("https://parts-sales.ru/parts/MAN/81960010528","Наконечник")</f>
        <v>Наконечник</v>
      </c>
      <c r="C3543" s="5" t="s">
        <v>14</v>
      </c>
      <c r="D3543" s="6">
        <v>1107.5999999999999</v>
      </c>
      <c r="E3543" s="6">
        <v>301</v>
      </c>
      <c r="F3543" s="9">
        <v>0.73</v>
      </c>
      <c r="H3543" s="11"/>
      <c r="I3543" s="11"/>
      <c r="J3543" s="11"/>
    </row>
    <row r="3544" spans="1:10" ht="15.75" x14ac:dyDescent="0.3">
      <c r="A3544" s="12" t="str">
        <f>HYPERLINK("https://parts-sales.ru/parts/MAN/81960010549","81.96001-0549")</f>
        <v>81.96001-0549</v>
      </c>
      <c r="B3544" s="12" t="str">
        <f>HYPERLINK("https://parts-sales.ru/parts/MAN/81960010549","Наконечник")</f>
        <v>Наконечник</v>
      </c>
      <c r="C3544" s="3" t="s">
        <v>14</v>
      </c>
      <c r="D3544" s="4">
        <v>484.8</v>
      </c>
      <c r="E3544" s="4">
        <v>107</v>
      </c>
      <c r="F3544" s="8">
        <v>0.78</v>
      </c>
      <c r="H3544" s="11"/>
      <c r="I3544" s="11"/>
      <c r="J3544" s="11"/>
    </row>
    <row r="3545" spans="1:10" ht="15.75" x14ac:dyDescent="0.3">
      <c r="A3545" s="13" t="str">
        <f>HYPERLINK("https://parts-sales.ru/parts/MAN/81960010583","81.96001-0583")</f>
        <v>81.96001-0583</v>
      </c>
      <c r="B3545" s="13" t="str">
        <f>HYPERLINK("https://parts-sales.ru/parts/MAN/81960010583","Наконечник 10,0-13X2/17,5X7,5-EPDM1-70-S")</f>
        <v>Наконечник 10,0-13X2/17,5X7,5-EPDM1-70-S</v>
      </c>
      <c r="C3545" s="5" t="s">
        <v>14</v>
      </c>
      <c r="D3545" s="6">
        <v>302.39999999999998</v>
      </c>
      <c r="E3545" s="6">
        <v>119</v>
      </c>
      <c r="F3545" s="9">
        <v>0.61</v>
      </c>
      <c r="H3545" s="11"/>
      <c r="I3545" s="11"/>
      <c r="J3545" s="11"/>
    </row>
    <row r="3546" spans="1:10" ht="15.75" x14ac:dyDescent="0.3">
      <c r="A3546" s="12" t="str">
        <f>HYPERLINK("https://parts-sales.ru/parts/MAN/81960020117","81.96002-0117")</f>
        <v>81.96002-0117</v>
      </c>
      <c r="B3546" s="12" t="str">
        <f>HYPERLINK("https://parts-sales.ru/parts/MAN/81960020117","Защитная гильза 12-PE")</f>
        <v>Защитная гильза 12-PE</v>
      </c>
      <c r="C3546" s="3" t="s">
        <v>14</v>
      </c>
      <c r="D3546" s="4">
        <v>52.8</v>
      </c>
      <c r="E3546" s="4">
        <v>8</v>
      </c>
      <c r="F3546" s="8">
        <v>0.85</v>
      </c>
      <c r="H3546" s="11"/>
      <c r="I3546" s="11"/>
      <c r="J3546" s="11"/>
    </row>
    <row r="3547" spans="1:10" ht="15.75" x14ac:dyDescent="0.3">
      <c r="A3547" s="13" t="str">
        <f>HYPERLINK("https://parts-sales.ru/parts/MAN/81960020131","81.96002-0131")</f>
        <v>81.96002-0131</v>
      </c>
      <c r="B3547" s="13" t="str">
        <f>HYPERLINK("https://parts-sales.ru/parts/MAN/81960020131","Пробка B18X3-PE-SW")</f>
        <v>Пробка B18X3-PE-SW</v>
      </c>
      <c r="C3547" s="5" t="s">
        <v>14</v>
      </c>
      <c r="D3547" s="6">
        <v>1294.8</v>
      </c>
      <c r="E3547" s="6">
        <v>475</v>
      </c>
      <c r="F3547" s="9">
        <v>0.63</v>
      </c>
      <c r="H3547" s="11"/>
      <c r="I3547" s="11"/>
      <c r="J3547" s="11"/>
    </row>
    <row r="3548" spans="1:10" ht="15.75" x14ac:dyDescent="0.3">
      <c r="A3548" s="12" t="str">
        <f>HYPERLINK("https://parts-sales.ru/parts/MAN/81960020191","81.96002-0191")</f>
        <v>81.96002-0191</v>
      </c>
      <c r="B3548" s="12" t="str">
        <f>HYPERLINK("https://parts-sales.ru/parts/MAN/81960020191","Защитный колпачок B-PE-RT")</f>
        <v>Защитный колпачок B-PE-RT</v>
      </c>
      <c r="C3548" s="3" t="s">
        <v>14</v>
      </c>
      <c r="D3548" s="4">
        <v>67.2</v>
      </c>
      <c r="E3548" s="4">
        <v>12</v>
      </c>
      <c r="F3548" s="8">
        <v>0.82</v>
      </c>
      <c r="H3548" s="11"/>
      <c r="I3548" s="11"/>
      <c r="J3548" s="11"/>
    </row>
    <row r="3549" spans="1:10" ht="15.75" x14ac:dyDescent="0.3">
      <c r="A3549" s="13" t="str">
        <f>HYPERLINK("https://parts-sales.ru/parts/MAN/81960020207","81.96002-0207")</f>
        <v>81.96002-0207</v>
      </c>
      <c r="B3549" s="13" t="str">
        <f>HYPERLINK("https://parts-sales.ru/parts/MAN/81960020207","Заглушка")</f>
        <v>Заглушка</v>
      </c>
      <c r="C3549" s="5" t="s">
        <v>14</v>
      </c>
      <c r="D3549" s="6">
        <v>484.8</v>
      </c>
      <c r="E3549" s="6">
        <v>108</v>
      </c>
      <c r="F3549" s="9">
        <v>0.78</v>
      </c>
      <c r="H3549" s="11"/>
      <c r="I3549" s="11"/>
      <c r="J3549" s="11"/>
    </row>
    <row r="3550" spans="1:10" ht="15.75" x14ac:dyDescent="0.3">
      <c r="A3550" s="12" t="str">
        <f>HYPERLINK("https://parts-sales.ru/parts/MAN/81960020258","81.96002-0258")</f>
        <v>81.96002-0258</v>
      </c>
      <c r="B3550" s="12" t="str">
        <f>HYPERLINK("https://parts-sales.ru/parts/MAN/81960020258","Пробка 11,7X7-16-PE")</f>
        <v>Пробка 11,7X7-16-PE</v>
      </c>
      <c r="C3550" s="3" t="s">
        <v>14</v>
      </c>
      <c r="D3550" s="4">
        <v>508.8</v>
      </c>
      <c r="E3550" s="4">
        <v>118</v>
      </c>
      <c r="F3550" s="8">
        <v>0.77</v>
      </c>
      <c r="H3550" s="11"/>
      <c r="I3550" s="11"/>
      <c r="J3550" s="11"/>
    </row>
    <row r="3551" spans="1:10" ht="15.75" x14ac:dyDescent="0.3">
      <c r="A3551" s="13" t="str">
        <f>HYPERLINK("https://parts-sales.ru/parts/MAN/81960020267","81.96002-0267")</f>
        <v>81.96002-0267</v>
      </c>
      <c r="B3551" s="13" t="str">
        <f>HYPERLINK("https://parts-sales.ru/parts/MAN/81960020267","Заглушка")</f>
        <v>Заглушка</v>
      </c>
      <c r="C3551" s="5" t="s">
        <v>14</v>
      </c>
      <c r="D3551" s="6">
        <v>781.2</v>
      </c>
      <c r="E3551" s="6">
        <v>119</v>
      </c>
      <c r="F3551" s="9">
        <v>0.85</v>
      </c>
      <c r="H3551" s="11"/>
      <c r="I3551" s="11"/>
      <c r="J3551" s="11"/>
    </row>
    <row r="3552" spans="1:10" ht="15.75" x14ac:dyDescent="0.3">
      <c r="A3552" s="12" t="str">
        <f>HYPERLINK("https://parts-sales.ru/parts/MAN/81960020270","81.96002-0270")</f>
        <v>81.96002-0270</v>
      </c>
      <c r="B3552" s="12" t="str">
        <f>HYPERLINK("https://parts-sales.ru/parts/MAN/81960020270","Пробка 9,4X4,5-14-PE")</f>
        <v>Пробка 9,4X4,5-14-PE</v>
      </c>
      <c r="C3552" s="3" t="s">
        <v>14</v>
      </c>
      <c r="D3552" s="4">
        <v>867.6</v>
      </c>
      <c r="E3552" s="4">
        <v>234</v>
      </c>
      <c r="F3552" s="8">
        <v>0.73</v>
      </c>
      <c r="H3552" s="11"/>
      <c r="I3552" s="11"/>
      <c r="J3552" s="11"/>
    </row>
    <row r="3553" spans="1:10" ht="15.75" x14ac:dyDescent="0.3">
      <c r="A3553" s="13" t="str">
        <f>HYPERLINK("https://parts-sales.ru/parts/MAN/81960020294","81.96002-0294")</f>
        <v>81.96002-0294</v>
      </c>
      <c r="B3553" s="13" t="str">
        <f>HYPERLINK("https://parts-sales.ru/parts/MAN/81960020294","Пробка B49X3-RAL9011")</f>
        <v>Пробка B49X3-RAL9011</v>
      </c>
      <c r="C3553" s="5" t="s">
        <v>14</v>
      </c>
      <c r="D3553" s="6">
        <v>688.8</v>
      </c>
      <c r="E3553" s="6">
        <v>28</v>
      </c>
      <c r="F3553" s="9">
        <v>0.96</v>
      </c>
      <c r="H3553" s="11"/>
      <c r="I3553" s="11"/>
      <c r="J3553" s="11"/>
    </row>
    <row r="3554" spans="1:10" ht="15.75" x14ac:dyDescent="0.3">
      <c r="A3554" s="12" t="str">
        <f>HYPERLINK("https://parts-sales.ru/parts/MAN/81960020333","81.96002-0333")</f>
        <v>81.96002-0333</v>
      </c>
      <c r="B3554" s="12" t="str">
        <f>HYPERLINK("https://parts-sales.ru/parts/MAN/81960020333","Пробка A7,2X15-17")</f>
        <v>Пробка A7,2X15-17</v>
      </c>
      <c r="C3554" s="3" t="s">
        <v>14</v>
      </c>
      <c r="D3554" s="4">
        <v>279.60000000000002</v>
      </c>
      <c r="E3554" s="4">
        <v>2</v>
      </c>
      <c r="F3554" s="8">
        <v>0.99</v>
      </c>
      <c r="H3554" s="11"/>
      <c r="I3554" s="11"/>
      <c r="J3554" s="11"/>
    </row>
    <row r="3555" spans="1:10" ht="15.75" x14ac:dyDescent="0.3">
      <c r="A3555" s="13" t="str">
        <f>HYPERLINK("https://parts-sales.ru/parts/MAN/81960020457","81.96002-0457")</f>
        <v>81.96002-0457</v>
      </c>
      <c r="B3555" s="13" t="str">
        <f>HYPERLINK("https://parts-sales.ru/parts/MAN/81960020457","Резиновая пробка 3-NBR-SW")</f>
        <v>Резиновая пробка 3-NBR-SW</v>
      </c>
      <c r="C3555" s="5" t="s">
        <v>14</v>
      </c>
      <c r="D3555" s="6">
        <v>969.6</v>
      </c>
      <c r="E3555" s="6">
        <v>158</v>
      </c>
      <c r="F3555" s="9">
        <v>0.84</v>
      </c>
      <c r="H3555" s="11"/>
      <c r="I3555" s="11"/>
      <c r="J3555" s="11"/>
    </row>
    <row r="3556" spans="1:10" ht="15.75" x14ac:dyDescent="0.3">
      <c r="A3556" s="12" t="str">
        <f>HYPERLINK("https://parts-sales.ru/parts/MAN/81960020484","81.96002-0484")</f>
        <v>81.96002-0484</v>
      </c>
      <c r="B3556" s="12" t="str">
        <f>HYPERLINK("https://parts-sales.ru/parts/MAN/81960020484","Декоративная крышка Пластмасса")</f>
        <v>Декоративная крышка Пластмасса</v>
      </c>
      <c r="C3556" s="3" t="s">
        <v>14</v>
      </c>
      <c r="D3556" s="4">
        <v>1627.2</v>
      </c>
      <c r="E3556" s="4">
        <v>390</v>
      </c>
      <c r="F3556" s="8">
        <v>0.76</v>
      </c>
      <c r="H3556" s="11"/>
      <c r="I3556" s="11"/>
      <c r="J3556" s="11"/>
    </row>
    <row r="3557" spans="1:10" ht="15.75" x14ac:dyDescent="0.3">
      <c r="A3557" s="13" t="str">
        <f>HYPERLINK("https://parts-sales.ru/parts/MAN/81960020492","81.96002-0492")</f>
        <v>81.96002-0492</v>
      </c>
      <c r="B3557" s="13" t="str">
        <f>HYPERLINK("https://parts-sales.ru/parts/MAN/81960020492","Заглушка графитовый")</f>
        <v>Заглушка графитовый</v>
      </c>
      <c r="C3557" s="5" t="s">
        <v>14</v>
      </c>
      <c r="D3557" s="6">
        <v>760.8</v>
      </c>
      <c r="E3557" s="6">
        <v>156</v>
      </c>
      <c r="F3557" s="9">
        <v>0.79</v>
      </c>
      <c r="H3557" s="11"/>
      <c r="I3557" s="11"/>
      <c r="J3557" s="11"/>
    </row>
    <row r="3558" spans="1:10" ht="15.75" x14ac:dyDescent="0.3">
      <c r="A3558" s="12" t="str">
        <f>HYPERLINK("https://parts-sales.ru/parts/MAN/81960020494","81.96002-0494")</f>
        <v>81.96002-0494</v>
      </c>
      <c r="B3558" s="12" t="str">
        <f>HYPERLINK("https://parts-sales.ru/parts/MAN/81960020494","Заглушка NW17")</f>
        <v>Заглушка NW17</v>
      </c>
      <c r="C3558" s="3" t="s">
        <v>14</v>
      </c>
      <c r="D3558" s="4">
        <v>748.8</v>
      </c>
      <c r="E3558" s="4">
        <v>19</v>
      </c>
      <c r="F3558" s="8">
        <v>0.97</v>
      </c>
      <c r="H3558" s="11"/>
      <c r="I3558" s="11"/>
      <c r="J3558" s="11"/>
    </row>
    <row r="3559" spans="1:10" ht="15.75" x14ac:dyDescent="0.3">
      <c r="A3559" s="13" t="str">
        <f>HYPERLINK("https://parts-sales.ru/parts/MAN/81960020495","81.96002-0495")</f>
        <v>81.96002-0495</v>
      </c>
      <c r="B3559" s="13" t="str">
        <f>HYPERLINK("https://parts-sales.ru/parts/MAN/81960020495","Заглушка NW8,5")</f>
        <v>Заглушка NW8,5</v>
      </c>
      <c r="C3559" s="5" t="s">
        <v>14</v>
      </c>
      <c r="D3559" s="6">
        <v>715.2</v>
      </c>
      <c r="E3559" s="6">
        <v>14</v>
      </c>
      <c r="F3559" s="9">
        <v>0.98</v>
      </c>
      <c r="H3559" s="11"/>
      <c r="I3559" s="11"/>
      <c r="J3559" s="11"/>
    </row>
    <row r="3560" spans="1:10" ht="15.75" x14ac:dyDescent="0.3">
      <c r="A3560" s="12" t="str">
        <f>HYPERLINK("https://parts-sales.ru/parts/MAN/81960020512","81.96002-0512")</f>
        <v>81.96002-0512</v>
      </c>
      <c r="B3560" s="12" t="str">
        <f>HYPERLINK("https://parts-sales.ru/parts/MAN/81960020512","Защитная гильза")</f>
        <v>Защитная гильза</v>
      </c>
      <c r="C3560" s="3" t="s">
        <v>14</v>
      </c>
      <c r="D3560" s="4">
        <v>500.4</v>
      </c>
      <c r="E3560" s="4">
        <v>78</v>
      </c>
      <c r="F3560" s="8">
        <v>0.84</v>
      </c>
      <c r="H3560" s="11"/>
      <c r="I3560" s="11"/>
      <c r="J3560" s="11"/>
    </row>
    <row r="3561" spans="1:10" ht="15.75" x14ac:dyDescent="0.3">
      <c r="A3561" s="13" t="str">
        <f>HYPERLINK("https://parts-sales.ru/parts/MAN/81960020514","81.96002-0514")</f>
        <v>81.96002-0514</v>
      </c>
      <c r="B3561" s="13" t="str">
        <f>HYPERLINK("https://parts-sales.ru/parts/MAN/81960020514","Защитная гильза")</f>
        <v>Защитная гильза</v>
      </c>
      <c r="C3561" s="5" t="s">
        <v>14</v>
      </c>
      <c r="D3561" s="6">
        <v>517.20000000000005</v>
      </c>
      <c r="E3561" s="6">
        <v>82</v>
      </c>
      <c r="F3561" s="9">
        <v>0.84</v>
      </c>
      <c r="H3561" s="11"/>
      <c r="I3561" s="11"/>
      <c r="J3561" s="11"/>
    </row>
    <row r="3562" spans="1:10" ht="15.75" x14ac:dyDescent="0.3">
      <c r="A3562" s="12" t="str">
        <f>HYPERLINK("https://parts-sales.ru/parts/MAN/81960020515","81.96002-0515")</f>
        <v>81.96002-0515</v>
      </c>
      <c r="B3562" s="12" t="str">
        <f>HYPERLINK("https://parts-sales.ru/parts/MAN/81960020515","Защитная гильза")</f>
        <v>Защитная гильза</v>
      </c>
      <c r="C3562" s="3" t="s">
        <v>14</v>
      </c>
      <c r="D3562" s="4">
        <v>376.8</v>
      </c>
      <c r="E3562" s="4">
        <v>48</v>
      </c>
      <c r="F3562" s="8">
        <v>0.87</v>
      </c>
      <c r="H3562" s="11"/>
      <c r="I3562" s="11"/>
      <c r="J3562" s="11"/>
    </row>
    <row r="3563" spans="1:10" ht="15.75" x14ac:dyDescent="0.3">
      <c r="A3563" s="13" t="str">
        <f>HYPERLINK("https://parts-sales.ru/parts/MAN/81960020519","81.96002-0519")</f>
        <v>81.96002-0519</v>
      </c>
      <c r="B3563" s="13" t="str">
        <f>HYPERLINK("https://parts-sales.ru/parts/MAN/81960020519","Заглушка")</f>
        <v>Заглушка</v>
      </c>
      <c r="C3563" s="5" t="s">
        <v>14</v>
      </c>
      <c r="D3563" s="6">
        <v>524.4</v>
      </c>
      <c r="E3563" s="6">
        <v>82</v>
      </c>
      <c r="F3563" s="9">
        <v>0.84</v>
      </c>
      <c r="H3563" s="11"/>
      <c r="I3563" s="11"/>
      <c r="J3563" s="11"/>
    </row>
    <row r="3564" spans="1:10" ht="15.75" x14ac:dyDescent="0.3">
      <c r="A3564" s="12" t="str">
        <f>HYPERLINK("https://parts-sales.ru/parts/MAN/81960020520","81.96002-0520")</f>
        <v>81.96002-0520</v>
      </c>
      <c r="B3564" s="12" t="str">
        <f>HYPERLINK("https://parts-sales.ru/parts/MAN/81960020520","Заглушка")</f>
        <v>Заглушка</v>
      </c>
      <c r="C3564" s="3" t="s">
        <v>14</v>
      </c>
      <c r="D3564" s="4">
        <v>446.4</v>
      </c>
      <c r="E3564" s="4">
        <v>39</v>
      </c>
      <c r="F3564" s="8">
        <v>0.91</v>
      </c>
      <c r="H3564" s="11"/>
      <c r="I3564" s="11"/>
      <c r="J3564" s="11"/>
    </row>
    <row r="3565" spans="1:10" ht="15.75" x14ac:dyDescent="0.3">
      <c r="A3565" s="13" t="str">
        <f>HYPERLINK("https://parts-sales.ru/parts/MAN/81960020521","81.96002-0521")</f>
        <v>81.96002-0521</v>
      </c>
      <c r="B3565" s="13" t="str">
        <f>HYPERLINK("https://parts-sales.ru/parts/MAN/81960020521","Заглушка")</f>
        <v>Заглушка</v>
      </c>
      <c r="C3565" s="5" t="s">
        <v>14</v>
      </c>
      <c r="D3565" s="6">
        <v>376.8</v>
      </c>
      <c r="E3565" s="6">
        <v>87</v>
      </c>
      <c r="F3565" s="9">
        <v>0.77</v>
      </c>
      <c r="H3565" s="11"/>
      <c r="I3565" s="11"/>
      <c r="J3565" s="11"/>
    </row>
    <row r="3566" spans="1:10" ht="15.75" x14ac:dyDescent="0.3">
      <c r="A3566" s="12" t="str">
        <f>HYPERLINK("https://parts-sales.ru/parts/MAN/81960020522","81.96002-0522")</f>
        <v>81.96002-0522</v>
      </c>
      <c r="B3566" s="12" t="str">
        <f>HYPERLINK("https://parts-sales.ru/parts/MAN/81960020522","Защитная гильза")</f>
        <v>Защитная гильза</v>
      </c>
      <c r="C3566" s="3" t="s">
        <v>14</v>
      </c>
      <c r="D3566" s="4">
        <v>178.8</v>
      </c>
      <c r="E3566" s="4">
        <v>16</v>
      </c>
      <c r="F3566" s="8">
        <v>0.91</v>
      </c>
      <c r="H3566" s="11"/>
      <c r="I3566" s="11"/>
      <c r="J3566" s="11"/>
    </row>
    <row r="3567" spans="1:10" ht="15.75" x14ac:dyDescent="0.3">
      <c r="A3567" s="13" t="str">
        <f>HYPERLINK("https://parts-sales.ru/parts/MAN/81960020523","81.96002-0523")</f>
        <v>81.96002-0523</v>
      </c>
      <c r="B3567" s="13" t="str">
        <f>HYPERLINK("https://parts-sales.ru/parts/MAN/81960020523","Коническая пробка")</f>
        <v>Коническая пробка</v>
      </c>
      <c r="C3567" s="5" t="s">
        <v>14</v>
      </c>
      <c r="D3567" s="6">
        <v>608.4</v>
      </c>
      <c r="E3567" s="6">
        <v>51</v>
      </c>
      <c r="F3567" s="9">
        <v>0.92</v>
      </c>
      <c r="H3567" s="11"/>
      <c r="I3567" s="11"/>
      <c r="J3567" s="11"/>
    </row>
    <row r="3568" spans="1:10" ht="15.75" x14ac:dyDescent="0.3">
      <c r="A3568" s="12" t="str">
        <f>HYPERLINK("https://parts-sales.ru/parts/MAN/81960020528","81.96002-0528")</f>
        <v>81.96002-0528</v>
      </c>
      <c r="B3568" s="12" t="str">
        <f>HYPERLINK("https://parts-sales.ru/parts/MAN/81960020528","Пробка")</f>
        <v>Пробка</v>
      </c>
      <c r="C3568" s="3" t="s">
        <v>14</v>
      </c>
      <c r="D3568" s="4">
        <v>484.8</v>
      </c>
      <c r="E3568" s="4">
        <v>76</v>
      </c>
      <c r="F3568" s="8">
        <v>0.84</v>
      </c>
      <c r="H3568" s="11"/>
      <c r="I3568" s="11"/>
      <c r="J3568" s="11"/>
    </row>
    <row r="3569" spans="1:10" ht="15.75" x14ac:dyDescent="0.3">
      <c r="A3569" s="13" t="str">
        <f>HYPERLINK("https://parts-sales.ru/parts/MAN/81960020534","81.96002-0534")</f>
        <v>81.96002-0534</v>
      </c>
      <c r="B3569" s="13" t="str">
        <f>HYPERLINK("https://parts-sales.ru/parts/MAN/81960020534","Резиновый колпачок")</f>
        <v>Резиновый колпачок</v>
      </c>
      <c r="C3569" s="5" t="s">
        <v>14</v>
      </c>
      <c r="D3569" s="6">
        <v>2211.6</v>
      </c>
      <c r="E3569" s="6">
        <v>492</v>
      </c>
      <c r="F3569" s="9">
        <v>0.78</v>
      </c>
      <c r="H3569" s="11"/>
      <c r="I3569" s="11"/>
      <c r="J3569" s="11"/>
    </row>
    <row r="3570" spans="1:10" ht="15.75" x14ac:dyDescent="0.3">
      <c r="A3570" s="12" t="str">
        <f>HYPERLINK("https://parts-sales.ru/parts/MAN/81960020540","81.96002-0540")</f>
        <v>81.96002-0540</v>
      </c>
      <c r="B3570" s="12" t="str">
        <f>HYPERLINK("https://parts-sales.ru/parts/MAN/81960020540","Пробка")</f>
        <v>Пробка</v>
      </c>
      <c r="C3570" s="3" t="s">
        <v>14</v>
      </c>
      <c r="D3570" s="4">
        <v>55.2</v>
      </c>
      <c r="E3570" s="4">
        <v>10</v>
      </c>
      <c r="F3570" s="8">
        <v>0.82</v>
      </c>
      <c r="H3570" s="11"/>
      <c r="I3570" s="11"/>
      <c r="J3570" s="11"/>
    </row>
    <row r="3571" spans="1:10" ht="15.75" x14ac:dyDescent="0.3">
      <c r="A3571" s="13" t="str">
        <f>HYPERLINK("https://parts-sales.ru/parts/MAN/81960020541","81.96002-0541")</f>
        <v>81.96002-0541</v>
      </c>
      <c r="B3571" s="13" t="str">
        <f>HYPERLINK("https://parts-sales.ru/parts/MAN/81960020541","Заглушка D2066")</f>
        <v>Заглушка D2066</v>
      </c>
      <c r="C3571" s="5" t="s">
        <v>14</v>
      </c>
      <c r="D3571" s="6">
        <v>574.79999999999995</v>
      </c>
      <c r="E3571" s="6">
        <v>92</v>
      </c>
      <c r="F3571" s="9">
        <v>0.84</v>
      </c>
      <c r="H3571" s="11"/>
      <c r="I3571" s="11"/>
      <c r="J3571" s="11"/>
    </row>
    <row r="3572" spans="1:10" ht="15.75" x14ac:dyDescent="0.3">
      <c r="A3572" s="12" t="str">
        <f>HYPERLINK("https://parts-sales.ru/parts/MAN/81960020548","81.96002-0548")</f>
        <v>81.96002-0548</v>
      </c>
      <c r="B3572" s="12" t="str">
        <f>HYPERLINK("https://parts-sales.ru/parts/MAN/81960020548","Колпачок")</f>
        <v>Колпачок</v>
      </c>
      <c r="C3572" s="3" t="s">
        <v>14</v>
      </c>
      <c r="D3572" s="4">
        <v>1035.5999999999999</v>
      </c>
      <c r="E3572" s="4">
        <v>238</v>
      </c>
      <c r="F3572" s="8">
        <v>0.77</v>
      </c>
      <c r="H3572" s="11"/>
      <c r="I3572" s="11"/>
      <c r="J3572" s="11"/>
    </row>
    <row r="3573" spans="1:10" ht="15.75" x14ac:dyDescent="0.3">
      <c r="A3573" s="13" t="str">
        <f>HYPERLINK("https://parts-sales.ru/parts/MAN/81960020559","81.96002-0559")</f>
        <v>81.96002-0559</v>
      </c>
      <c r="B3573" s="13" t="str">
        <f>HYPERLINK("https://parts-sales.ru/parts/MAN/81960020559","Защитный колпачок")</f>
        <v>Защитный колпачок</v>
      </c>
      <c r="C3573" s="5" t="s">
        <v>14</v>
      </c>
      <c r="D3573" s="6">
        <v>3097.2</v>
      </c>
      <c r="E3573" s="6">
        <v>733</v>
      </c>
      <c r="F3573" s="9">
        <v>0.76</v>
      </c>
      <c r="H3573" s="11"/>
      <c r="I3573" s="11"/>
      <c r="J3573" s="11"/>
    </row>
    <row r="3574" spans="1:10" ht="15.75" x14ac:dyDescent="0.3">
      <c r="A3574" s="12" t="str">
        <f>HYPERLINK("https://parts-sales.ru/parts/MAN/81960020676","81.96002-0676")</f>
        <v>81.96002-0676</v>
      </c>
      <c r="B3574" s="12" t="str">
        <f>HYPERLINK("https://parts-sales.ru/parts/MAN/81960020676","Декоративная крышка")</f>
        <v>Декоративная крышка</v>
      </c>
      <c r="C3574" s="3" t="s">
        <v>14</v>
      </c>
      <c r="D3574" s="4">
        <v>2187.6</v>
      </c>
      <c r="E3574" s="4">
        <v>662</v>
      </c>
      <c r="F3574" s="8">
        <v>0.7</v>
      </c>
      <c r="H3574" s="11"/>
      <c r="I3574" s="11"/>
      <c r="J3574" s="11"/>
    </row>
    <row r="3575" spans="1:10" ht="15.75" x14ac:dyDescent="0.3">
      <c r="A3575" s="13" t="str">
        <f>HYPERLINK("https://parts-sales.ru/parts/MAN/81960020688","81.96002-0688")</f>
        <v>81.96002-0688</v>
      </c>
      <c r="B3575" s="13" t="str">
        <f>HYPERLINK("https://parts-sales.ru/parts/MAN/81960020688","Заглушка")</f>
        <v>Заглушка</v>
      </c>
      <c r="C3575" s="5" t="s">
        <v>14</v>
      </c>
      <c r="D3575" s="6">
        <v>122.4</v>
      </c>
      <c r="E3575" s="6">
        <v>25</v>
      </c>
      <c r="F3575" s="9">
        <v>0.8</v>
      </c>
      <c r="H3575" s="11"/>
      <c r="I3575" s="11"/>
      <c r="J3575" s="11"/>
    </row>
    <row r="3576" spans="1:10" ht="15.75" x14ac:dyDescent="0.3">
      <c r="A3576" s="12" t="str">
        <f>HYPERLINK("https://parts-sales.ru/parts/MAN/81960020721","81.96002-0721")</f>
        <v>81.96002-0721</v>
      </c>
      <c r="B3576" s="12" t="str">
        <f>HYPERLINK("https://parts-sales.ru/parts/MAN/81960020721","Заглушка")</f>
        <v>Заглушка</v>
      </c>
      <c r="C3576" s="3" t="s">
        <v>14</v>
      </c>
      <c r="D3576" s="4">
        <v>198</v>
      </c>
      <c r="E3576" s="4">
        <v>3</v>
      </c>
      <c r="F3576" s="8">
        <v>0.98</v>
      </c>
      <c r="H3576" s="11"/>
      <c r="I3576" s="11"/>
      <c r="J3576" s="11"/>
    </row>
    <row r="3577" spans="1:10" ht="15.75" x14ac:dyDescent="0.3">
      <c r="A3577" s="13" t="str">
        <f>HYPERLINK("https://parts-sales.ru/parts/MAN/81960020722","81.96002-0722")</f>
        <v>81.96002-0722</v>
      </c>
      <c r="B3577" s="13" t="str">
        <f>HYPERLINK("https://parts-sales.ru/parts/MAN/81960020722","Запорная крышка")</f>
        <v>Запорная крышка</v>
      </c>
      <c r="C3577" s="5" t="s">
        <v>14</v>
      </c>
      <c r="D3577" s="6">
        <v>1317.6</v>
      </c>
      <c r="E3577" s="6">
        <v>550</v>
      </c>
      <c r="F3577" s="9">
        <v>0.57999999999999996</v>
      </c>
      <c r="H3577" s="11"/>
      <c r="I3577" s="11"/>
      <c r="J3577" s="11"/>
    </row>
    <row r="3578" spans="1:10" ht="15.75" x14ac:dyDescent="0.3">
      <c r="A3578" s="12" t="str">
        <f>HYPERLINK("https://parts-sales.ru/parts/MAN/81960020725","81.96002-0725")</f>
        <v>81.96002-0725</v>
      </c>
      <c r="B3578" s="12" t="str">
        <f>HYPERLINK("https://parts-sales.ru/parts/MAN/81960020725","Пробка Брызговик")</f>
        <v>Пробка Брызговик</v>
      </c>
      <c r="C3578" s="3" t="s">
        <v>14</v>
      </c>
      <c r="D3578" s="4">
        <v>436.8</v>
      </c>
      <c r="E3578" s="4">
        <v>15</v>
      </c>
      <c r="F3578" s="8">
        <v>0.97</v>
      </c>
      <c r="H3578" s="11"/>
      <c r="I3578" s="11"/>
      <c r="J3578" s="11"/>
    </row>
    <row r="3579" spans="1:10" ht="15.75" x14ac:dyDescent="0.3">
      <c r="A3579" s="13" t="str">
        <f>HYPERLINK("https://parts-sales.ru/parts/MAN/81960020728","81.96002-0728")</f>
        <v>81.96002-0728</v>
      </c>
      <c r="B3579" s="13" t="str">
        <f>HYPERLINK("https://parts-sales.ru/parts/MAN/81960020728","Заглушка Стеклоподъемник")</f>
        <v>Заглушка Стеклоподъемник</v>
      </c>
      <c r="C3579" s="5" t="s">
        <v>14</v>
      </c>
      <c r="D3579" s="6">
        <v>288</v>
      </c>
      <c r="E3579" s="6">
        <v>65</v>
      </c>
      <c r="F3579" s="9">
        <v>0.77</v>
      </c>
      <c r="H3579" s="11"/>
      <c r="I3579" s="11"/>
      <c r="J3579" s="11"/>
    </row>
    <row r="3580" spans="1:10" ht="15.75" x14ac:dyDescent="0.3">
      <c r="A3580" s="12" t="str">
        <f>HYPERLINK("https://parts-sales.ru/parts/MAN/81960030002","81.96003-0002")</f>
        <v>81.96003-0002</v>
      </c>
      <c r="B3580" s="12" t="str">
        <f>HYPERLINK("https://parts-sales.ru/parts/MAN/81960030002","Шайба 46X15-PUR")</f>
        <v>Шайба 46X15-PUR</v>
      </c>
      <c r="C3580" s="3" t="s">
        <v>14</v>
      </c>
      <c r="D3580" s="4">
        <v>1291.2</v>
      </c>
      <c r="E3580" s="4">
        <v>267</v>
      </c>
      <c r="F3580" s="8">
        <v>0.79</v>
      </c>
      <c r="H3580" s="11"/>
      <c r="I3580" s="11"/>
      <c r="J3580" s="11"/>
    </row>
    <row r="3581" spans="1:10" ht="15.75" x14ac:dyDescent="0.3">
      <c r="A3581" s="13" t="str">
        <f>HYPERLINK("https://parts-sales.ru/parts/MAN/81960030003","81.96003-0003")</f>
        <v>81.96003-0003</v>
      </c>
      <c r="B3581" s="13" t="str">
        <f>HYPERLINK("https://parts-sales.ru/parts/MAN/81960030003","Уплотнительная шайба 7X16X1-EPDM80-SW")</f>
        <v>Уплотнительная шайба 7X16X1-EPDM80-SW</v>
      </c>
      <c r="C3581" s="5" t="s">
        <v>14</v>
      </c>
      <c r="D3581" s="6">
        <v>97.2</v>
      </c>
      <c r="E3581" s="6">
        <v>4</v>
      </c>
      <c r="F3581" s="9">
        <v>0.96</v>
      </c>
      <c r="H3581" s="11"/>
      <c r="I3581" s="11"/>
      <c r="J3581" s="11"/>
    </row>
    <row r="3582" spans="1:10" ht="15.75" x14ac:dyDescent="0.3">
      <c r="A3582" s="12" t="str">
        <f>HYPERLINK("https://parts-sales.ru/parts/MAN/81960200032","81.96020-0032")</f>
        <v>81.96020-0032</v>
      </c>
      <c r="B3582" s="12" t="str">
        <f>HYPERLINK("https://parts-sales.ru/parts/MAN/81960200032","Резиновый буфер 14X6-8-1-M3080-50-SW")</f>
        <v>Резиновый буфер 14X6-8-1-M3080-50-SW</v>
      </c>
      <c r="C3582" s="3" t="s">
        <v>14</v>
      </c>
      <c r="D3582" s="4">
        <v>601.20000000000005</v>
      </c>
      <c r="E3582" s="4">
        <v>28</v>
      </c>
      <c r="F3582" s="8">
        <v>0.95</v>
      </c>
      <c r="H3582" s="11"/>
      <c r="I3582" s="11"/>
      <c r="J3582" s="11"/>
    </row>
    <row r="3583" spans="1:10" ht="15.75" x14ac:dyDescent="0.3">
      <c r="A3583" s="13" t="str">
        <f>HYPERLINK("https://parts-sales.ru/parts/MAN/81960200044","81.96020-0044")</f>
        <v>81.96020-0044</v>
      </c>
      <c r="B3583" s="13" t="str">
        <f>HYPERLINK("https://parts-sales.ru/parts/MAN/81960200044","Резиновый буфер 28X18-3,5-12,5-M3080-60-")</f>
        <v>Резиновый буфер 28X18-3,5-12,5-M3080-60-</v>
      </c>
      <c r="C3583" s="5" t="s">
        <v>14</v>
      </c>
      <c r="D3583" s="6">
        <v>949.2</v>
      </c>
      <c r="E3583" s="6">
        <v>224</v>
      </c>
      <c r="F3583" s="9">
        <v>0.76</v>
      </c>
      <c r="H3583" s="11"/>
      <c r="I3583" s="11"/>
      <c r="J3583" s="11"/>
    </row>
    <row r="3584" spans="1:10" ht="15.75" x14ac:dyDescent="0.3">
      <c r="A3584" s="12" t="str">
        <f>HYPERLINK("https://parts-sales.ru/parts/MAN/81960200051","81.96020-0051")</f>
        <v>81.96020-0051</v>
      </c>
      <c r="B3584" s="12" t="str">
        <f>HYPERLINK("https://parts-sales.ru/parts/MAN/81960200051","Резиновый буфер 22/19X12-5,2-12-PUR90-SW")</f>
        <v>Резиновый буфер 22/19X12-5,2-12-PUR90-SW</v>
      </c>
      <c r="C3584" s="3" t="s">
        <v>14</v>
      </c>
      <c r="D3584" s="4">
        <v>1741.2</v>
      </c>
      <c r="E3584" s="4">
        <v>176</v>
      </c>
      <c r="F3584" s="8">
        <v>0.9</v>
      </c>
      <c r="H3584" s="11"/>
      <c r="I3584" s="11"/>
      <c r="J3584" s="11"/>
    </row>
    <row r="3585" spans="1:10" ht="15.75" x14ac:dyDescent="0.3">
      <c r="A3585" s="13" t="str">
        <f>HYPERLINK("https://parts-sales.ru/parts/MAN/81960200054","81.96020-0054")</f>
        <v>81.96020-0054</v>
      </c>
      <c r="B3585" s="13" t="str">
        <f>HYPERLINK("https://parts-sales.ru/parts/MAN/81960200054","Резиновый буфер 22/20X10-3,5-9,5-M3080-6")</f>
        <v>Резиновый буфер 22/20X10-3,5-9,5-M3080-6</v>
      </c>
      <c r="C3585" s="5" t="s">
        <v>14</v>
      </c>
      <c r="D3585" s="6">
        <v>1206</v>
      </c>
      <c r="E3585" s="6">
        <v>286</v>
      </c>
      <c r="F3585" s="9">
        <v>0.76</v>
      </c>
      <c r="H3585" s="11"/>
      <c r="I3585" s="11"/>
      <c r="J3585" s="11"/>
    </row>
    <row r="3586" spans="1:10" ht="15.75" x14ac:dyDescent="0.3">
      <c r="A3586" s="12" t="str">
        <f>HYPERLINK("https://parts-sales.ru/parts/MAN/81960200139","81.96020-0139")</f>
        <v>81.96020-0139</v>
      </c>
      <c r="B3586" s="12" t="str">
        <f>HYPERLINK("https://parts-sales.ru/parts/MAN/81960200139","Резиновый буфер 20X10-9-M3080-50-SW")</f>
        <v>Резиновый буфер 20X10-9-M3080-50-SW</v>
      </c>
      <c r="C3586" s="3" t="s">
        <v>14</v>
      </c>
      <c r="D3586" s="4">
        <v>2212.8000000000002</v>
      </c>
      <c r="E3586" s="4">
        <v>78</v>
      </c>
      <c r="F3586" s="8">
        <v>0.96</v>
      </c>
      <c r="H3586" s="11"/>
      <c r="I3586" s="11"/>
      <c r="J3586" s="11"/>
    </row>
    <row r="3587" spans="1:10" ht="15.75" x14ac:dyDescent="0.3">
      <c r="A3587" s="13" t="str">
        <f>HYPERLINK("https://parts-sales.ru/parts/MAN/81960200340","81.96020-0340")</f>
        <v>81.96020-0340</v>
      </c>
      <c r="B3587" s="13" t="str">
        <f>HYPERLINK("https://parts-sales.ru/parts/MAN/81960200340","Опора двигателя")</f>
        <v>Опора двигателя</v>
      </c>
      <c r="C3587" s="5" t="s">
        <v>14</v>
      </c>
      <c r="D3587" s="6">
        <v>13450.8</v>
      </c>
      <c r="E3587" s="6">
        <v>2582</v>
      </c>
      <c r="F3587" s="9">
        <v>0.81</v>
      </c>
      <c r="H3587" s="11"/>
      <c r="I3587" s="11"/>
      <c r="J3587" s="11"/>
    </row>
    <row r="3588" spans="1:10" ht="15.75" x14ac:dyDescent="0.3">
      <c r="A3588" s="12" t="str">
        <f>HYPERLINK("https://parts-sales.ru/parts/MAN/81961010261","81.96101-0261")</f>
        <v>81.96101-0261</v>
      </c>
      <c r="B3588" s="12" t="str">
        <f>HYPERLINK("https://parts-sales.ru/parts/MAN/81961010261","Уплотнительная шайба 3,5X9X1,5-EPDM1-60-")</f>
        <v>Уплотнительная шайба 3,5X9X1,5-EPDM1-60-</v>
      </c>
      <c r="C3588" s="3" t="s">
        <v>14</v>
      </c>
      <c r="D3588" s="4">
        <v>1135.2</v>
      </c>
      <c r="E3588" s="4">
        <v>266</v>
      </c>
      <c r="F3588" s="8">
        <v>0.77</v>
      </c>
      <c r="H3588" s="11"/>
      <c r="I3588" s="11"/>
      <c r="J3588" s="11"/>
    </row>
    <row r="3589" spans="1:10" ht="15.75" x14ac:dyDescent="0.3">
      <c r="A3589" s="13" t="str">
        <f>HYPERLINK("https://parts-sales.ru/parts/MAN/81961010582","81.96101-0582")</f>
        <v>81.96101-0582</v>
      </c>
      <c r="B3589" s="13" t="str">
        <f>HYPERLINK("https://parts-sales.ru/parts/MAN/81961010582","Резиновый профиль 5X5X40")</f>
        <v>Резиновый профиль 5X5X40</v>
      </c>
      <c r="C3589" s="5" t="s">
        <v>14</v>
      </c>
      <c r="D3589" s="6">
        <v>810</v>
      </c>
      <c r="E3589" s="6">
        <v>269</v>
      </c>
      <c r="F3589" s="9">
        <v>0.67</v>
      </c>
      <c r="H3589" s="11"/>
      <c r="I3589" s="11"/>
      <c r="J3589" s="11"/>
    </row>
    <row r="3590" spans="1:10" ht="15.75" x14ac:dyDescent="0.3">
      <c r="A3590" s="12" t="str">
        <f>HYPERLINK("https://parts-sales.ru/parts/MAN/81961010638","81.96101-0638")</f>
        <v>81.96101-0638</v>
      </c>
      <c r="B3590" s="12" t="str">
        <f>HYPERLINK("https://parts-sales.ru/parts/MAN/81961010638","Шайба 32X70X4-PAF")</f>
        <v>Шайба 32X70X4-PAF</v>
      </c>
      <c r="C3590" s="3" t="s">
        <v>14</v>
      </c>
      <c r="D3590" s="4">
        <v>1052.4000000000001</v>
      </c>
      <c r="E3590" s="4">
        <v>241</v>
      </c>
      <c r="F3590" s="8">
        <v>0.77</v>
      </c>
      <c r="H3590" s="11"/>
      <c r="I3590" s="11"/>
      <c r="J3590" s="11"/>
    </row>
    <row r="3591" spans="1:10" ht="15.75" x14ac:dyDescent="0.3">
      <c r="A3591" s="13" t="str">
        <f>HYPERLINK("https://parts-sales.ru/parts/MAN/81961014007","81.96101-4007")</f>
        <v>81.96101-4007</v>
      </c>
      <c r="B3591" s="13" t="str">
        <f>HYPERLINK("https://parts-sales.ru/parts/MAN/81961014007","Подкладка")</f>
        <v>Подкладка</v>
      </c>
      <c r="C3591" s="5" t="s">
        <v>14</v>
      </c>
      <c r="D3591" s="6">
        <v>1100.4000000000001</v>
      </c>
      <c r="E3591" s="6">
        <v>7</v>
      </c>
      <c r="F3591" s="9">
        <v>0.99</v>
      </c>
      <c r="H3591" s="11"/>
      <c r="I3591" s="11"/>
      <c r="J3591" s="11"/>
    </row>
    <row r="3592" spans="1:10" ht="15.75" x14ac:dyDescent="0.3">
      <c r="A3592" s="12" t="str">
        <f>HYPERLINK("https://parts-sales.ru/parts/MAN/81961210162","81.96121-0162")</f>
        <v>81.96121-0162</v>
      </c>
      <c r="B3592" s="12" t="str">
        <f>HYPERLINK("https://parts-sales.ru/parts/MAN/81961210162","Облицовочный профиль")</f>
        <v>Облицовочный профиль</v>
      </c>
      <c r="C3592" s="3" t="s">
        <v>14</v>
      </c>
      <c r="D3592" s="4">
        <v>1532.4</v>
      </c>
      <c r="E3592" s="4">
        <v>456</v>
      </c>
      <c r="F3592" s="8">
        <v>0.7</v>
      </c>
      <c r="H3592" s="11"/>
      <c r="I3592" s="11"/>
      <c r="J3592" s="11"/>
    </row>
    <row r="3593" spans="1:10" ht="15.75" x14ac:dyDescent="0.3">
      <c r="A3593" s="13" t="str">
        <f>HYPERLINK("https://parts-sales.ru/parts/MAN/81962100026","81.96210-0026")</f>
        <v>81.96210-0026</v>
      </c>
      <c r="B3593" s="13" t="str">
        <f>HYPERLINK("https://parts-sales.ru/parts/MAN/81962100026","Резино-металл. буфер M8X20X20-40X30-NR/S")</f>
        <v>Резино-металл. буфер M8X20X20-40X30-NR/S</v>
      </c>
      <c r="C3593" s="5" t="s">
        <v>14</v>
      </c>
      <c r="D3593" s="6">
        <v>2664</v>
      </c>
      <c r="E3593" s="6">
        <v>377</v>
      </c>
      <c r="F3593" s="9">
        <v>0.86</v>
      </c>
      <c r="H3593" s="11"/>
      <c r="I3593" s="11"/>
      <c r="J3593" s="11"/>
    </row>
    <row r="3594" spans="1:10" ht="15.75" x14ac:dyDescent="0.3">
      <c r="A3594" s="12" t="str">
        <f>HYPERLINK("https://parts-sales.ru/parts/MAN/81962100127","81.96210-0127")</f>
        <v>81.96210-0127</v>
      </c>
      <c r="B3594" s="12" t="str">
        <f>HYPERLINK("https://parts-sales.ru/parts/MAN/81962100127","Резино-металл. буфер M10X20X10-50X30-NR/")</f>
        <v>Резино-металл. буфер M10X20X10-50X30-NR/</v>
      </c>
      <c r="C3594" s="3" t="s">
        <v>14</v>
      </c>
      <c r="D3594" s="4">
        <v>1267.2</v>
      </c>
      <c r="E3594" s="4">
        <v>116</v>
      </c>
      <c r="F3594" s="8">
        <v>0.91</v>
      </c>
      <c r="H3594" s="11"/>
      <c r="I3594" s="11"/>
      <c r="J3594" s="11"/>
    </row>
    <row r="3595" spans="1:10" ht="15.75" x14ac:dyDescent="0.3">
      <c r="A3595" s="13" t="str">
        <f>HYPERLINK("https://parts-sales.ru/parts/MAN/81962100364","81.96210-0364")</f>
        <v>81.96210-0364</v>
      </c>
      <c r="B3595" s="13" t="str">
        <f>HYPERLINK("https://parts-sales.ru/parts/MAN/81962100364","Резин.-метал. упруг. элемент")</f>
        <v>Резин.-метал. упруг. элемент</v>
      </c>
      <c r="C3595" s="5" t="s">
        <v>14</v>
      </c>
      <c r="D3595" s="6">
        <v>5955.6</v>
      </c>
      <c r="E3595" s="6">
        <v>1050</v>
      </c>
      <c r="F3595" s="9">
        <v>0.82</v>
      </c>
      <c r="H3595" s="11"/>
      <c r="I3595" s="11"/>
      <c r="J3595" s="11"/>
    </row>
    <row r="3596" spans="1:10" ht="15.75" x14ac:dyDescent="0.3">
      <c r="A3596" s="12" t="str">
        <f>HYPERLINK("https://parts-sales.ru/parts/MAN/81962100407","81.96210-0407")</f>
        <v>81.96210-0407</v>
      </c>
      <c r="B3596" s="12" t="str">
        <f>HYPERLINK("https://parts-sales.ru/parts/MAN/81962100407","Резиновый подшипник")</f>
        <v>Резиновый подшипник</v>
      </c>
      <c r="C3596" s="3" t="s">
        <v>14</v>
      </c>
      <c r="D3596" s="4">
        <v>3152.4</v>
      </c>
      <c r="E3596" s="4">
        <v>725</v>
      </c>
      <c r="F3596" s="8">
        <v>0.77</v>
      </c>
      <c r="H3596" s="11"/>
      <c r="I3596" s="11"/>
      <c r="J3596" s="11"/>
    </row>
    <row r="3597" spans="1:10" ht="15.75" x14ac:dyDescent="0.3">
      <c r="A3597" s="13" t="str">
        <f>HYPERLINK("https://parts-sales.ru/parts/MAN/81962100431","81.96210-0431")</f>
        <v>81.96210-0431</v>
      </c>
      <c r="B3597" s="13" t="str">
        <f>HYPERLINK("https://parts-sales.ru/parts/MAN/81962100431","Резиновый буфер 45 MM")</f>
        <v>Резиновый буфер 45 MM</v>
      </c>
      <c r="C3597" s="5" t="s">
        <v>14</v>
      </c>
      <c r="D3597" s="6">
        <v>5068.8</v>
      </c>
      <c r="E3597" s="6">
        <v>558</v>
      </c>
      <c r="F3597" s="9">
        <v>0.89</v>
      </c>
      <c r="H3597" s="11"/>
      <c r="I3597" s="11"/>
      <c r="J3597" s="11"/>
    </row>
    <row r="3598" spans="1:10" ht="15.75" x14ac:dyDescent="0.3">
      <c r="A3598" s="12" t="str">
        <f>HYPERLINK("https://parts-sales.ru/parts/MAN/81962100450","81.96210-0450")</f>
        <v>81.96210-0450</v>
      </c>
      <c r="B3598" s="12" t="str">
        <f>HYPERLINK("https://parts-sales.ru/parts/MAN/81962100450","Втулка внешний диаметр")</f>
        <v>Втулка внешний диаметр</v>
      </c>
      <c r="C3598" s="3" t="s">
        <v>14</v>
      </c>
      <c r="D3598" s="4">
        <v>14164.8</v>
      </c>
      <c r="E3598" s="4">
        <v>3765</v>
      </c>
      <c r="F3598" s="8">
        <v>0.73</v>
      </c>
      <c r="H3598" s="11"/>
      <c r="I3598" s="11"/>
      <c r="J3598" s="11"/>
    </row>
    <row r="3599" spans="1:10" ht="15.75" x14ac:dyDescent="0.3">
      <c r="A3599" s="13" t="str">
        <f>HYPERLINK("https://parts-sales.ru/parts/MAN/81962100508","81.96210-0508")</f>
        <v>81.96210-0508</v>
      </c>
      <c r="B3599" s="13" t="str">
        <f>HYPERLINK("https://parts-sales.ru/parts/MAN/81962100508","Резиново-метал. подшипник 120X149,8X99")</f>
        <v>Резиново-метал. подшипник 120X149,8X99</v>
      </c>
      <c r="C3599" s="5" t="s">
        <v>14</v>
      </c>
      <c r="D3599" s="6">
        <v>23054.400000000001</v>
      </c>
      <c r="E3599" s="6">
        <v>5030</v>
      </c>
      <c r="F3599" s="9">
        <v>0.78</v>
      </c>
      <c r="H3599" s="11"/>
      <c r="I3599" s="11"/>
      <c r="J3599" s="11"/>
    </row>
    <row r="3600" spans="1:10" ht="15.75" x14ac:dyDescent="0.3">
      <c r="A3600" s="12" t="str">
        <f>HYPERLINK("https://parts-sales.ru/parts/MAN/81962100543","81.96210-0543")</f>
        <v>81.96210-0543</v>
      </c>
      <c r="B3600" s="12" t="str">
        <f>HYPERLINK("https://parts-sales.ru/parts/MAN/81962100543","Резино-металл. буфер")</f>
        <v>Резино-металл. буфер</v>
      </c>
      <c r="C3600" s="3" t="s">
        <v>14</v>
      </c>
      <c r="D3600" s="4">
        <v>3042</v>
      </c>
      <c r="E3600" s="4">
        <v>468</v>
      </c>
      <c r="F3600" s="8">
        <v>0.85</v>
      </c>
      <c r="H3600" s="11"/>
      <c r="I3600" s="11"/>
      <c r="J3600" s="11"/>
    </row>
    <row r="3601" spans="1:10" ht="15.75" x14ac:dyDescent="0.3">
      <c r="A3601" s="13" t="str">
        <f>HYPERLINK("https://parts-sales.ru/parts/MAN/81962100552","81.96210-0552")</f>
        <v>81.96210-0552</v>
      </c>
      <c r="B3601" s="13" t="str">
        <f>HYPERLINK("https://parts-sales.ru/parts/MAN/81962100552","Упорный буфер")</f>
        <v>Упорный буфер</v>
      </c>
      <c r="C3601" s="5" t="s">
        <v>14</v>
      </c>
      <c r="D3601" s="6">
        <v>22300.799999999999</v>
      </c>
      <c r="E3601" s="6">
        <v>4331</v>
      </c>
      <c r="F3601" s="9">
        <v>0.81</v>
      </c>
      <c r="H3601" s="11"/>
      <c r="I3601" s="11"/>
      <c r="J3601" s="11"/>
    </row>
    <row r="3602" spans="1:10" ht="15.75" x14ac:dyDescent="0.3">
      <c r="A3602" s="12" t="str">
        <f>HYPERLINK("https://parts-sales.ru/parts/MAN/81962100554","81.96210-0554")</f>
        <v>81.96210-0554</v>
      </c>
      <c r="B3602" s="12" t="str">
        <f>HYPERLINK("https://parts-sales.ru/parts/MAN/81962100554","Подушка задней рессоры (правая)")</f>
        <v>Подушка задней рессоры (правая)</v>
      </c>
      <c r="C3602" s="3" t="s">
        <v>14</v>
      </c>
      <c r="D3602" s="4">
        <v>19108.73</v>
      </c>
      <c r="E3602" s="4">
        <v>10423</v>
      </c>
      <c r="F3602" s="8">
        <v>0.45</v>
      </c>
      <c r="H3602" s="11"/>
      <c r="I3602" s="11"/>
      <c r="J3602" s="11"/>
    </row>
    <row r="3603" spans="1:10" ht="15.75" x14ac:dyDescent="0.3">
      <c r="A3603" s="13" t="str">
        <f>HYPERLINK("https://parts-sales.ru/parts/MAN/81962100555","81.96210-0555")</f>
        <v>81.96210-0555</v>
      </c>
      <c r="B3603" s="13" t="str">
        <f>HYPERLINK("https://parts-sales.ru/parts/MAN/81962100555","Подушка задней рессоры (левая)")</f>
        <v>Подушка задней рессоры (левая)</v>
      </c>
      <c r="C3603" s="5" t="s">
        <v>14</v>
      </c>
      <c r="D3603" s="6">
        <v>21419.919999999998</v>
      </c>
      <c r="E3603" s="6">
        <v>10752</v>
      </c>
      <c r="F3603" s="9">
        <v>0.5</v>
      </c>
      <c r="H3603" s="11"/>
      <c r="I3603" s="11"/>
      <c r="J3603" s="11"/>
    </row>
    <row r="3604" spans="1:10" ht="15.75" x14ac:dyDescent="0.3">
      <c r="A3604" s="12" t="str">
        <f>HYPERLINK("https://parts-sales.ru/parts/MAN/81962100571","81.96210-0571")</f>
        <v>81.96210-0571</v>
      </c>
      <c r="B3604" s="12" t="str">
        <f>HYPERLINK("https://parts-sales.ru/parts/MAN/81962100571","Опора двигателя")</f>
        <v>Опора двигателя</v>
      </c>
      <c r="C3604" s="3" t="s">
        <v>14</v>
      </c>
      <c r="D3604" s="4">
        <v>53899.199999999997</v>
      </c>
      <c r="E3604" s="4">
        <v>8639</v>
      </c>
      <c r="F3604" s="8">
        <v>0.84</v>
      </c>
      <c r="H3604" s="11"/>
      <c r="I3604" s="11"/>
      <c r="J3604" s="11"/>
    </row>
    <row r="3605" spans="1:10" ht="15.75" x14ac:dyDescent="0.3">
      <c r="A3605" s="13" t="str">
        <f>HYPERLINK("https://parts-sales.ru/parts/MAN/81962100597","81.96210-0597")</f>
        <v>81.96210-0597</v>
      </c>
      <c r="B3605" s="13" t="str">
        <f>HYPERLINK("https://parts-sales.ru/parts/MAN/81962100597","Опора двигателя")</f>
        <v>Опора двигателя</v>
      </c>
      <c r="C3605" s="5" t="s">
        <v>14</v>
      </c>
      <c r="D3605" s="6">
        <v>12230.4</v>
      </c>
      <c r="E3605" s="6">
        <v>7655</v>
      </c>
      <c r="F3605" s="9">
        <v>0.37</v>
      </c>
      <c r="H3605" s="11"/>
      <c r="I3605" s="11"/>
      <c r="J3605" s="11"/>
    </row>
    <row r="3606" spans="1:10" ht="15.75" x14ac:dyDescent="0.3">
      <c r="A3606" s="12" t="str">
        <f>HYPERLINK("https://parts-sales.ru/parts/MAN/81962100603","81.96210-0603")</f>
        <v>81.96210-0603</v>
      </c>
      <c r="B3606" s="12" t="str">
        <f>HYPERLINK("https://parts-sales.ru/parts/MAN/81962100603","Резиново-метал. подшипник 16,3X43,13X28X")</f>
        <v>Резиново-метал. подшипник 16,3X43,13X28X</v>
      </c>
      <c r="C3606" s="3" t="s">
        <v>14</v>
      </c>
      <c r="D3606" s="4">
        <v>5017.2</v>
      </c>
      <c r="E3606" s="4">
        <v>1801</v>
      </c>
      <c r="F3606" s="8">
        <v>0.64</v>
      </c>
      <c r="H3606" s="11"/>
      <c r="I3606" s="11"/>
      <c r="J3606" s="11"/>
    </row>
    <row r="3607" spans="1:10" ht="15.75" x14ac:dyDescent="0.3">
      <c r="A3607" s="13" t="str">
        <f>HYPERLINK("https://parts-sales.ru/parts/MAN/81962100610","81.96210-0610")</f>
        <v>81.96210-0610</v>
      </c>
      <c r="B3607" s="13" t="str">
        <f>HYPERLINK("https://parts-sales.ru/parts/MAN/81962100610","Резино-металл. буфер")</f>
        <v>Резино-металл. буфер</v>
      </c>
      <c r="C3607" s="5" t="s">
        <v>14</v>
      </c>
      <c r="D3607" s="6">
        <v>4365.6000000000004</v>
      </c>
      <c r="E3607" s="6">
        <v>780</v>
      </c>
      <c r="F3607" s="9">
        <v>0.82</v>
      </c>
      <c r="H3607" s="11"/>
      <c r="I3607" s="11"/>
      <c r="J3607" s="11"/>
    </row>
    <row r="3608" spans="1:10" ht="15.75" x14ac:dyDescent="0.3">
      <c r="A3608" s="12" t="str">
        <f>HYPERLINK("https://parts-sales.ru/parts/MAN/81962100618","81.96210-0618")</f>
        <v>81.96210-0618</v>
      </c>
      <c r="B3608" s="12" t="str">
        <f>HYPERLINK("https://parts-sales.ru/parts/MAN/81962100618","Втулка")</f>
        <v>Втулка</v>
      </c>
      <c r="C3608" s="3" t="s">
        <v>14</v>
      </c>
      <c r="D3608" s="4">
        <v>4222.8</v>
      </c>
      <c r="E3608" s="4">
        <v>1624</v>
      </c>
      <c r="F3608" s="8">
        <v>0.62</v>
      </c>
      <c r="H3608" s="11"/>
      <c r="I3608" s="11"/>
      <c r="J3608" s="11"/>
    </row>
    <row r="3609" spans="1:10" ht="15.75" x14ac:dyDescent="0.3">
      <c r="A3609" s="13" t="str">
        <f>HYPERLINK("https://parts-sales.ru/parts/MAN/81963010594","81.96301-0594")</f>
        <v>81.96301-0594</v>
      </c>
      <c r="B3609" s="13" t="str">
        <f>HYPERLINK("https://parts-sales.ru/parts/MAN/81963010594","Шланг 90X4X120-M3055-6")</f>
        <v>Шланг 90X4X120-M3055-6</v>
      </c>
      <c r="C3609" s="5" t="s">
        <v>14</v>
      </c>
      <c r="D3609" s="6">
        <v>27283.200000000001</v>
      </c>
      <c r="E3609" s="6">
        <v>5418</v>
      </c>
      <c r="F3609" s="9">
        <v>0.8</v>
      </c>
      <c r="H3609" s="11"/>
      <c r="I3609" s="11"/>
      <c r="J3609" s="11"/>
    </row>
    <row r="3610" spans="1:10" ht="15.75" x14ac:dyDescent="0.3">
      <c r="A3610" s="12" t="str">
        <f>HYPERLINK("https://parts-sales.ru/parts/MAN/81963010680","81.96301-0680")</f>
        <v>81.96301-0680</v>
      </c>
      <c r="B3610" s="12" t="str">
        <f>HYPERLINK("https://parts-sales.ru/parts/MAN/81963010680","Шланг охлаждающей жидкости")</f>
        <v>Шланг охлаждающей жидкости</v>
      </c>
      <c r="C3610" s="3" t="s">
        <v>14</v>
      </c>
      <c r="D3610" s="4">
        <v>7465.2</v>
      </c>
      <c r="E3610" s="4">
        <v>1053</v>
      </c>
      <c r="F3610" s="8">
        <v>0.86</v>
      </c>
      <c r="H3610" s="11"/>
      <c r="I3610" s="11"/>
      <c r="J3610" s="11"/>
    </row>
    <row r="3611" spans="1:10" ht="15.75" x14ac:dyDescent="0.3">
      <c r="A3611" s="13" t="str">
        <f>HYPERLINK("https://parts-sales.ru/parts/MAN/81963010894","81.96301-0894")</f>
        <v>81.96301-0894</v>
      </c>
      <c r="B3611" s="13" t="str">
        <f>HYPERLINK("https://parts-sales.ru/parts/MAN/81963010894","Формовочный шланг")</f>
        <v>Формовочный шланг</v>
      </c>
      <c r="C3611" s="5" t="s">
        <v>14</v>
      </c>
      <c r="D3611" s="6">
        <v>2709.6</v>
      </c>
      <c r="E3611" s="6">
        <v>731</v>
      </c>
      <c r="F3611" s="9">
        <v>0.73</v>
      </c>
      <c r="H3611" s="11"/>
      <c r="I3611" s="11"/>
      <c r="J3611" s="11"/>
    </row>
    <row r="3612" spans="1:10" ht="15.75" x14ac:dyDescent="0.3">
      <c r="A3612" s="12" t="str">
        <f>HYPERLINK("https://parts-sales.ru/parts/MAN/81963010895","81.96301-0895")</f>
        <v>81.96301-0895</v>
      </c>
      <c r="B3612" s="12" t="str">
        <f>HYPERLINK("https://parts-sales.ru/parts/MAN/81963010895","Формовочный шланг")</f>
        <v>Формовочный шланг</v>
      </c>
      <c r="C3612" s="3" t="s">
        <v>14</v>
      </c>
      <c r="D3612" s="4">
        <v>4047.6</v>
      </c>
      <c r="E3612" s="4">
        <v>1247</v>
      </c>
      <c r="F3612" s="8">
        <v>0.69</v>
      </c>
      <c r="H3612" s="11"/>
      <c r="I3612" s="11"/>
      <c r="J3612" s="11"/>
    </row>
    <row r="3613" spans="1:10" ht="15.75" x14ac:dyDescent="0.3">
      <c r="A3613" s="13" t="str">
        <f>HYPERLINK("https://parts-sales.ru/parts/MAN/81963010896","81.96301-0896")</f>
        <v>81.96301-0896</v>
      </c>
      <c r="B3613" s="13" t="str">
        <f>HYPERLINK("https://parts-sales.ru/parts/MAN/81963010896","Формовочный шланг")</f>
        <v>Формовочный шланг</v>
      </c>
      <c r="C3613" s="5" t="s">
        <v>14</v>
      </c>
      <c r="D3613" s="6">
        <v>8648.4</v>
      </c>
      <c r="E3613" s="6">
        <v>2652</v>
      </c>
      <c r="F3613" s="9">
        <v>0.69</v>
      </c>
      <c r="H3613" s="11"/>
      <c r="I3613" s="11"/>
      <c r="J3613" s="11"/>
    </row>
    <row r="3614" spans="1:10" ht="15.75" x14ac:dyDescent="0.3">
      <c r="A3614" s="12" t="str">
        <f>HYPERLINK("https://parts-sales.ru/parts/MAN/81963010933","81.96301-0933")</f>
        <v>81.96301-0933</v>
      </c>
      <c r="B3614" s="12" t="str">
        <f>HYPERLINK("https://parts-sales.ru/parts/MAN/81963010933","Топливный шланг 60X4,5X135-FKM4-80")</f>
        <v>Топливный шланг 60X4,5X135-FKM4-80</v>
      </c>
      <c r="C3614" s="3" t="s">
        <v>14</v>
      </c>
      <c r="D3614" s="4">
        <v>26061.599999999999</v>
      </c>
      <c r="E3614" s="4">
        <v>4135</v>
      </c>
      <c r="F3614" s="8">
        <v>0.84</v>
      </c>
      <c r="H3614" s="11"/>
      <c r="I3614" s="11"/>
      <c r="J3614" s="11"/>
    </row>
    <row r="3615" spans="1:10" ht="15.75" x14ac:dyDescent="0.3">
      <c r="A3615" s="13" t="str">
        <f>HYPERLINK("https://parts-sales.ru/parts/MAN/81963010942","81.96301-0942")</f>
        <v>81.96301-0942</v>
      </c>
      <c r="B3615" s="13" t="str">
        <f>HYPERLINK("https://parts-sales.ru/parts/MAN/81963010942","Шланг охлаждающей жидкости")</f>
        <v>Шланг охлаждающей жидкости</v>
      </c>
      <c r="C3615" s="5" t="s">
        <v>14</v>
      </c>
      <c r="D3615" s="6">
        <v>8294.4</v>
      </c>
      <c r="E3615" s="6">
        <v>1714</v>
      </c>
      <c r="F3615" s="9">
        <v>0.79</v>
      </c>
      <c r="H3615" s="11"/>
      <c r="I3615" s="11"/>
      <c r="J3615" s="11"/>
    </row>
    <row r="3616" spans="1:10" ht="15.75" x14ac:dyDescent="0.3">
      <c r="A3616" s="12" t="str">
        <f>HYPERLINK("https://parts-sales.ru/parts/MAN/81963010961","81.96301-0961")</f>
        <v>81.96301-0961</v>
      </c>
      <c r="B3616" s="12" t="str">
        <f>HYPERLINK("https://parts-sales.ru/parts/MAN/81963010961","Шланг охлаждающей жидкости")</f>
        <v>Шланг охлаждающей жидкости</v>
      </c>
      <c r="C3616" s="3" t="s">
        <v>14</v>
      </c>
      <c r="D3616" s="4">
        <v>27982.799999999999</v>
      </c>
      <c r="E3616" s="4">
        <v>5737</v>
      </c>
      <c r="F3616" s="8">
        <v>0.79</v>
      </c>
      <c r="H3616" s="11"/>
      <c r="I3616" s="11"/>
      <c r="J3616" s="11"/>
    </row>
    <row r="3617" spans="1:10" ht="15.75" x14ac:dyDescent="0.3">
      <c r="A3617" s="13" t="str">
        <f>HYPERLINK("https://parts-sales.ru/parts/MAN/81963050099","81.96305-0099")</f>
        <v>81.96305-0099</v>
      </c>
      <c r="B3617" s="13" t="str">
        <f>HYPERLINK("https://parts-sales.ru/parts/MAN/81963050099","Колено шланга 15/15-25/26/25-MAN333-N1")</f>
        <v>Колено шланга 15/15-25/26/25-MAN333-N1</v>
      </c>
      <c r="C3617" s="5" t="s">
        <v>14</v>
      </c>
      <c r="D3617" s="6">
        <v>1824</v>
      </c>
      <c r="E3617" s="6">
        <v>82</v>
      </c>
      <c r="F3617" s="9">
        <v>0.96</v>
      </c>
      <c r="H3617" s="11"/>
      <c r="I3617" s="11"/>
      <c r="J3617" s="11"/>
    </row>
    <row r="3618" spans="1:10" ht="15.75" x14ac:dyDescent="0.3">
      <c r="A3618" s="12" t="str">
        <f>HYPERLINK("https://parts-sales.ru/parts/MAN/81963050142","81.96305-0142")</f>
        <v>81.96305-0142</v>
      </c>
      <c r="B3618" s="12" t="str">
        <f>HYPERLINK("https://parts-sales.ru/parts/MAN/81963050142","Колено шланга 15/15-25/26/215-MAN333-N1")</f>
        <v>Колено шланга 15/15-25/26/215-MAN333-N1</v>
      </c>
      <c r="C3618" s="3" t="s">
        <v>14</v>
      </c>
      <c r="D3618" s="4">
        <v>3241.2</v>
      </c>
      <c r="E3618" s="4">
        <v>657</v>
      </c>
      <c r="F3618" s="8">
        <v>0.8</v>
      </c>
      <c r="H3618" s="11"/>
      <c r="I3618" s="11"/>
      <c r="J3618" s="11"/>
    </row>
    <row r="3619" spans="1:10" ht="15.75" x14ac:dyDescent="0.3">
      <c r="A3619" s="13" t="str">
        <f>HYPERLINK("https://parts-sales.ru/parts/MAN/81963050143","81.96305-0143")</f>
        <v>81.96305-0143</v>
      </c>
      <c r="B3619" s="13" t="str">
        <f>HYPERLINK("https://parts-sales.ru/parts/MAN/81963050143","Колено шланга 22/22-147,5/50/135-MAN334-")</f>
        <v>Колено шланга 22/22-147,5/50/135-MAN334-</v>
      </c>
      <c r="C3619" s="5" t="s">
        <v>14</v>
      </c>
      <c r="D3619" s="6">
        <v>4242</v>
      </c>
      <c r="E3619" s="6">
        <v>1027</v>
      </c>
      <c r="F3619" s="9">
        <v>0.76</v>
      </c>
      <c r="H3619" s="11"/>
      <c r="I3619" s="11"/>
      <c r="J3619" s="11"/>
    </row>
    <row r="3620" spans="1:10" ht="15.75" x14ac:dyDescent="0.3">
      <c r="A3620" s="12" t="str">
        <f>HYPERLINK("https://parts-sales.ru/parts/MAN/81963050193","81.96305-0193")</f>
        <v>81.96305-0193</v>
      </c>
      <c r="B3620" s="12" t="str">
        <f>HYPERLINK("https://parts-sales.ru/parts/MAN/81963050193","Формовочный шланг")</f>
        <v>Формовочный шланг</v>
      </c>
      <c r="C3620" s="3" t="s">
        <v>14</v>
      </c>
      <c r="D3620" s="4">
        <v>4513.2</v>
      </c>
      <c r="E3620" s="4">
        <v>860</v>
      </c>
      <c r="F3620" s="8">
        <v>0.81</v>
      </c>
      <c r="H3620" s="11"/>
      <c r="I3620" s="11"/>
      <c r="J3620" s="11"/>
    </row>
    <row r="3621" spans="1:10" ht="15.75" x14ac:dyDescent="0.3">
      <c r="A3621" s="13" t="str">
        <f>HYPERLINK("https://parts-sales.ru/parts/MAN/81963050194","81.96305-0194")</f>
        <v>81.96305-0194</v>
      </c>
      <c r="B3621" s="13" t="str">
        <f>HYPERLINK("https://parts-sales.ru/parts/MAN/81963050194","Формовочный шланг")</f>
        <v>Формовочный шланг</v>
      </c>
      <c r="C3621" s="5" t="s">
        <v>14</v>
      </c>
      <c r="D3621" s="6">
        <v>4989.6000000000004</v>
      </c>
      <c r="E3621" s="6">
        <v>1249</v>
      </c>
      <c r="F3621" s="9">
        <v>0.75</v>
      </c>
      <c r="H3621" s="11"/>
      <c r="I3621" s="11"/>
      <c r="J3621" s="11"/>
    </row>
    <row r="3622" spans="1:10" ht="15.75" x14ac:dyDescent="0.3">
      <c r="A3622" s="12" t="str">
        <f>HYPERLINK("https://parts-sales.ru/parts/MAN/81963050217","81.96305-0217")</f>
        <v>81.96305-0217</v>
      </c>
      <c r="B3622" s="12" t="str">
        <f>HYPERLINK("https://parts-sales.ru/parts/MAN/81963050217","Формовочный шланг")</f>
        <v>Формовочный шланг</v>
      </c>
      <c r="C3622" s="3" t="s">
        <v>14</v>
      </c>
      <c r="D3622" s="4">
        <v>4268.09</v>
      </c>
      <c r="E3622" s="4">
        <v>2292</v>
      </c>
      <c r="F3622" s="8">
        <v>0.46</v>
      </c>
      <c r="H3622" s="11"/>
      <c r="I3622" s="11"/>
      <c r="J3622" s="11"/>
    </row>
    <row r="3623" spans="1:10" ht="15.75" x14ac:dyDescent="0.3">
      <c r="A3623" s="13" t="str">
        <f>HYPERLINK("https://parts-sales.ru/parts/MAN/81963050264","81.96305-0264")</f>
        <v>81.96305-0264</v>
      </c>
      <c r="B3623" s="13" t="str">
        <f>HYPERLINK("https://parts-sales.ru/parts/MAN/81963050264","Формовочный шланг 81.96305-0539")</f>
        <v>Формовочный шланг 81.96305-0539</v>
      </c>
      <c r="C3623" s="5" t="s">
        <v>14</v>
      </c>
      <c r="D3623" s="6">
        <v>1362</v>
      </c>
      <c r="E3623" s="6">
        <v>566</v>
      </c>
      <c r="F3623" s="9">
        <v>0.57999999999999996</v>
      </c>
      <c r="H3623" s="11"/>
      <c r="I3623" s="11"/>
      <c r="J3623" s="11"/>
    </row>
    <row r="3624" spans="1:10" ht="15.75" x14ac:dyDescent="0.3">
      <c r="A3624" s="12" t="str">
        <f>HYPERLINK("https://parts-sales.ru/parts/MAN/81963050272","81.96305-0272")</f>
        <v>81.96305-0272</v>
      </c>
      <c r="B3624" s="12" t="str">
        <f>HYPERLINK("https://parts-sales.ru/parts/MAN/81963050272","Формовочный шланг")</f>
        <v>Формовочный шланг</v>
      </c>
      <c r="C3624" s="3" t="s">
        <v>14</v>
      </c>
      <c r="D3624" s="4">
        <v>5425.2</v>
      </c>
      <c r="E3624" s="4">
        <v>2199</v>
      </c>
      <c r="F3624" s="8">
        <v>0.59</v>
      </c>
      <c r="H3624" s="11"/>
      <c r="I3624" s="11"/>
      <c r="J3624" s="11"/>
    </row>
    <row r="3625" spans="1:10" ht="15.75" x14ac:dyDescent="0.3">
      <c r="A3625" s="13" t="str">
        <f>HYPERLINK("https://parts-sales.ru/parts/MAN/81963050280","81.96305-0280")</f>
        <v>81.96305-0280</v>
      </c>
      <c r="B3625" s="13" t="str">
        <f>HYPERLINK("https://parts-sales.ru/parts/MAN/81963050280","Формовочный шланг")</f>
        <v>Формовочный шланг</v>
      </c>
      <c r="C3625" s="5" t="s">
        <v>14</v>
      </c>
      <c r="D3625" s="6">
        <v>4944</v>
      </c>
      <c r="E3625" s="6">
        <v>2462</v>
      </c>
      <c r="F3625" s="9">
        <v>0.5</v>
      </c>
      <c r="H3625" s="11"/>
      <c r="I3625" s="11"/>
      <c r="J3625" s="11"/>
    </row>
    <row r="3626" spans="1:10" ht="15.75" x14ac:dyDescent="0.3">
      <c r="A3626" s="12" t="str">
        <f>HYPERLINK("https://parts-sales.ru/parts/MAN/81963050322","81.96305-0322")</f>
        <v>81.96305-0322</v>
      </c>
      <c r="B3626" s="12" t="str">
        <f>HYPERLINK("https://parts-sales.ru/parts/MAN/81963050322","Формовочный шланг")</f>
        <v>Формовочный шланг</v>
      </c>
      <c r="C3626" s="3" t="s">
        <v>14</v>
      </c>
      <c r="D3626" s="4">
        <v>4288.8</v>
      </c>
      <c r="E3626" s="4">
        <v>1651</v>
      </c>
      <c r="F3626" s="8">
        <v>0.62</v>
      </c>
      <c r="H3626" s="11"/>
      <c r="I3626" s="11"/>
      <c r="J3626" s="11"/>
    </row>
    <row r="3627" spans="1:10" ht="15.75" x14ac:dyDescent="0.3">
      <c r="A3627" s="13" t="str">
        <f>HYPERLINK("https://parts-sales.ru/parts/MAN/81963050349","81.96305-0349")</f>
        <v>81.96305-0349</v>
      </c>
      <c r="B3627" s="13" t="str">
        <f>HYPERLINK("https://parts-sales.ru/parts/MAN/81963050349","Колено шланга 18/18-27/30/59-MAN334-5")</f>
        <v>Колено шланга 18/18-27/30/59-MAN334-5</v>
      </c>
      <c r="C3627" s="5" t="s">
        <v>14</v>
      </c>
      <c r="D3627" s="6">
        <v>1873.2</v>
      </c>
      <c r="E3627" s="6">
        <v>509</v>
      </c>
      <c r="F3627" s="9">
        <v>0.73</v>
      </c>
      <c r="H3627" s="11"/>
      <c r="I3627" s="11"/>
      <c r="J3627" s="11"/>
    </row>
    <row r="3628" spans="1:10" ht="15.75" x14ac:dyDescent="0.3">
      <c r="A3628" s="12" t="str">
        <f>HYPERLINK("https://parts-sales.ru/parts/MAN/81963050357","81.96305-0357")</f>
        <v>81.96305-0357</v>
      </c>
      <c r="B3628" s="12" t="str">
        <f>HYPERLINK("https://parts-sales.ru/parts/MAN/81963050357","Формовочный шланг")</f>
        <v>Формовочный шланг</v>
      </c>
      <c r="C3628" s="3" t="s">
        <v>14</v>
      </c>
      <c r="D3628" s="4">
        <v>5779.2</v>
      </c>
      <c r="E3628" s="4">
        <v>1683</v>
      </c>
      <c r="F3628" s="8">
        <v>0.71</v>
      </c>
      <c r="H3628" s="11"/>
      <c r="I3628" s="11"/>
      <c r="J3628" s="11"/>
    </row>
    <row r="3629" spans="1:10" ht="15.75" x14ac:dyDescent="0.3">
      <c r="A3629" s="13" t="str">
        <f>HYPERLINK("https://parts-sales.ru/parts/MAN/81963050463","81.96305-0463")</f>
        <v>81.96305-0463</v>
      </c>
      <c r="B3629" s="13" t="str">
        <f>HYPERLINK("https://parts-sales.ru/parts/MAN/81963050463","Формовочный шланг")</f>
        <v>Формовочный шланг</v>
      </c>
      <c r="C3629" s="5" t="s">
        <v>14</v>
      </c>
      <c r="D3629" s="6">
        <v>4412.3999999999996</v>
      </c>
      <c r="E3629" s="6">
        <v>1135</v>
      </c>
      <c r="F3629" s="9">
        <v>0.74</v>
      </c>
      <c r="H3629" s="11"/>
      <c r="I3629" s="11"/>
      <c r="J3629" s="11"/>
    </row>
    <row r="3630" spans="1:10" ht="15.75" x14ac:dyDescent="0.3">
      <c r="A3630" s="12" t="str">
        <f>HYPERLINK("https://parts-sales.ru/parts/MAN/81963050490","81.96305-0490")</f>
        <v>81.96305-0490</v>
      </c>
      <c r="B3630" s="12" t="str">
        <f>HYPERLINK("https://parts-sales.ru/parts/MAN/81963050490","Колено шланга")</f>
        <v>Колено шланга</v>
      </c>
      <c r="C3630" s="3" t="s">
        <v>14</v>
      </c>
      <c r="D3630" s="4">
        <v>6956.4</v>
      </c>
      <c r="E3630" s="4">
        <v>2797</v>
      </c>
      <c r="F3630" s="8">
        <v>0.6</v>
      </c>
      <c r="H3630" s="11"/>
      <c r="I3630" s="11"/>
      <c r="J3630" s="11"/>
    </row>
    <row r="3631" spans="1:10" ht="15.75" x14ac:dyDescent="0.3">
      <c r="A3631" s="13" t="str">
        <f>HYPERLINK("https://parts-sales.ru/parts/MAN/81963050492","81.96305-0492")</f>
        <v>81.96305-0492</v>
      </c>
      <c r="B3631" s="13" t="str">
        <f>HYPERLINK("https://parts-sales.ru/parts/MAN/81963050492","Колено шланга")</f>
        <v>Колено шланга</v>
      </c>
      <c r="C3631" s="5" t="s">
        <v>14</v>
      </c>
      <c r="D3631" s="6">
        <v>4597.2</v>
      </c>
      <c r="E3631" s="6">
        <v>1349</v>
      </c>
      <c r="F3631" s="9">
        <v>0.71</v>
      </c>
      <c r="H3631" s="11"/>
      <c r="I3631" s="11"/>
      <c r="J3631" s="11"/>
    </row>
    <row r="3632" spans="1:10" ht="15.75" x14ac:dyDescent="0.3">
      <c r="A3632" s="12" t="str">
        <f>HYPERLINK("https://parts-sales.ru/parts/MAN/81963050535","81.96305-0535")</f>
        <v>81.96305-0535</v>
      </c>
      <c r="B3632" s="12" t="str">
        <f>HYPERLINK("https://parts-sales.ru/parts/MAN/81963050535","Формовочный шланг")</f>
        <v>Формовочный шланг</v>
      </c>
      <c r="C3632" s="3" t="s">
        <v>14</v>
      </c>
      <c r="D3632" s="4">
        <v>7270.8</v>
      </c>
      <c r="E3632" s="4">
        <v>1885</v>
      </c>
      <c r="F3632" s="8">
        <v>0.74</v>
      </c>
      <c r="H3632" s="11"/>
      <c r="I3632" s="11"/>
      <c r="J3632" s="11"/>
    </row>
    <row r="3633" spans="1:10" ht="15.75" x14ac:dyDescent="0.3">
      <c r="A3633" s="13" t="str">
        <f>HYPERLINK("https://parts-sales.ru/parts/MAN/81963050536","81.96305-0536")</f>
        <v>81.96305-0536</v>
      </c>
      <c r="B3633" s="13" t="str">
        <f>HYPERLINK("https://parts-sales.ru/parts/MAN/81963050536","Формовочный шланг")</f>
        <v>Формовочный шланг</v>
      </c>
      <c r="C3633" s="5" t="s">
        <v>14</v>
      </c>
      <c r="D3633" s="6">
        <v>7567.2</v>
      </c>
      <c r="E3633" s="6">
        <v>1233</v>
      </c>
      <c r="F3633" s="9">
        <v>0.84</v>
      </c>
      <c r="H3633" s="11"/>
      <c r="I3633" s="11"/>
      <c r="J3633" s="11"/>
    </row>
    <row r="3634" spans="1:10" ht="15.75" x14ac:dyDescent="0.3">
      <c r="A3634" s="12" t="str">
        <f>HYPERLINK("https://parts-sales.ru/parts/MAN/81963050563","81.96305-0563")</f>
        <v>81.96305-0563</v>
      </c>
      <c r="B3634" s="12" t="str">
        <f>HYPERLINK("https://parts-sales.ru/parts/MAN/81963050563","Колено шланга 180°")</f>
        <v>Колено шланга 180°</v>
      </c>
      <c r="C3634" s="3" t="s">
        <v>14</v>
      </c>
      <c r="D3634" s="4">
        <v>2144.4</v>
      </c>
      <c r="E3634" s="4">
        <v>40</v>
      </c>
      <c r="F3634" s="8">
        <v>0.98</v>
      </c>
      <c r="H3634" s="11"/>
      <c r="I3634" s="11"/>
      <c r="J3634" s="11"/>
    </row>
    <row r="3635" spans="1:10" ht="15.75" x14ac:dyDescent="0.3">
      <c r="A3635" s="13" t="str">
        <f>HYPERLINK("https://parts-sales.ru/parts/MAN/81963050567","81.96305-0567")</f>
        <v>81.96305-0567</v>
      </c>
      <c r="B3635" s="13" t="str">
        <f>HYPERLINK("https://parts-sales.ru/parts/MAN/81963050567","Формовочный шланг")</f>
        <v>Формовочный шланг</v>
      </c>
      <c r="C3635" s="5" t="s">
        <v>14</v>
      </c>
      <c r="D3635" s="6">
        <v>4561.2</v>
      </c>
      <c r="E3635" s="6">
        <v>1049</v>
      </c>
      <c r="F3635" s="9">
        <v>0.77</v>
      </c>
      <c r="H3635" s="11"/>
      <c r="I3635" s="11"/>
      <c r="J3635" s="11"/>
    </row>
    <row r="3636" spans="1:10" ht="15.75" x14ac:dyDescent="0.3">
      <c r="A3636" s="12" t="str">
        <f>HYPERLINK("https://parts-sales.ru/parts/MAN/81963200147","81.96320-0147")</f>
        <v>81.96320-0147</v>
      </c>
      <c r="B3636" s="12" t="str">
        <f>HYPERLINK("https://parts-sales.ru/parts/MAN/81963200147","Шланг для наддувочного воздуха 65X65X180")</f>
        <v>Шланг для наддувочного воздуха 65X65X180</v>
      </c>
      <c r="C3636" s="3" t="s">
        <v>14</v>
      </c>
      <c r="D3636" s="4">
        <v>15003.16</v>
      </c>
      <c r="E3636" s="4">
        <v>6874</v>
      </c>
      <c r="F3636" s="8">
        <v>0.54</v>
      </c>
      <c r="H3636" s="11"/>
      <c r="I3636" s="11"/>
      <c r="J3636" s="11"/>
    </row>
    <row r="3637" spans="1:10" ht="15.75" x14ac:dyDescent="0.3">
      <c r="A3637" s="13" t="str">
        <f>HYPERLINK("https://parts-sales.ru/parts/MAN/81963300193","81.96330-0193")</f>
        <v>81.96330-0193</v>
      </c>
      <c r="B3637" s="13" t="str">
        <f>HYPERLINK("https://parts-sales.ru/parts/MAN/81963300193","Шланг 10X2,5X300-SW")</f>
        <v>Шланг 10X2,5X300-SW</v>
      </c>
      <c r="C3637" s="5" t="s">
        <v>14</v>
      </c>
      <c r="D3637" s="6">
        <v>1178.4000000000001</v>
      </c>
      <c r="E3637" s="6">
        <v>29</v>
      </c>
      <c r="F3637" s="9">
        <v>0.98</v>
      </c>
      <c r="H3637" s="11"/>
      <c r="I3637" s="11"/>
      <c r="J3637" s="11"/>
    </row>
    <row r="3638" spans="1:10" ht="15.75" x14ac:dyDescent="0.3">
      <c r="A3638" s="12" t="str">
        <f>HYPERLINK("https://parts-sales.ru/parts/MAN/81963406142","81.96340-6142")</f>
        <v>81.96340-6142</v>
      </c>
      <c r="B3638" s="12" t="str">
        <f>HYPERLINK("https://parts-sales.ru/parts/MAN/81963406142","Шланг M18X1,5/L=700")</f>
        <v>Шланг M18X1,5/L=700</v>
      </c>
      <c r="C3638" s="3" t="s">
        <v>14</v>
      </c>
      <c r="D3638" s="4">
        <v>16518</v>
      </c>
      <c r="E3638" s="4">
        <v>3651</v>
      </c>
      <c r="F3638" s="8">
        <v>0.78</v>
      </c>
      <c r="H3638" s="11"/>
      <c r="I3638" s="11"/>
      <c r="J3638" s="11"/>
    </row>
    <row r="3639" spans="1:10" ht="15.75" x14ac:dyDescent="0.3">
      <c r="A3639" s="13" t="str">
        <f>HYPERLINK("https://parts-sales.ru/parts/MAN/81964100299","81.96410-0299")</f>
        <v>81.96410-0299</v>
      </c>
      <c r="B3639" s="13" t="str">
        <f>HYPERLINK("https://parts-sales.ru/parts/MAN/81964100299","Защитный колпачок EK5/NW10")</f>
        <v>Защитный колпачок EK5/NW10</v>
      </c>
      <c r="C3639" s="5" t="s">
        <v>14</v>
      </c>
      <c r="D3639" s="6">
        <v>748.8</v>
      </c>
      <c r="E3639" s="6">
        <v>153</v>
      </c>
      <c r="F3639" s="9">
        <v>0.8</v>
      </c>
      <c r="H3639" s="11"/>
      <c r="I3639" s="11"/>
      <c r="J3639" s="11"/>
    </row>
    <row r="3640" spans="1:10" ht="15.75" x14ac:dyDescent="0.3">
      <c r="A3640" s="12" t="str">
        <f>HYPERLINK("https://parts-sales.ru/parts/MAN/81964100629","81.96410-0629")</f>
        <v>81.96410-0629</v>
      </c>
      <c r="B3640" s="12" t="str">
        <f>HYPERLINK("https://parts-sales.ru/parts/MAN/81964100629","Защитный колпачок NW 8,5")</f>
        <v>Защитный колпачок NW 8,5</v>
      </c>
      <c r="C3640" s="3" t="s">
        <v>14</v>
      </c>
      <c r="D3640" s="4">
        <v>120.95</v>
      </c>
      <c r="E3640" s="4">
        <v>76</v>
      </c>
      <c r="F3640" s="8">
        <v>0.37</v>
      </c>
      <c r="H3640" s="11"/>
      <c r="I3640" s="11"/>
      <c r="J3640" s="11"/>
    </row>
    <row r="3641" spans="1:10" ht="15.75" x14ac:dyDescent="0.3">
      <c r="A3641" s="13" t="str">
        <f>HYPERLINK("https://parts-sales.ru/parts/MAN/81964100630","81.96410-0630")</f>
        <v>81.96410-0630</v>
      </c>
      <c r="B3641" s="13" t="str">
        <f>HYPERLINK("https://parts-sales.ru/parts/MAN/81964100630","Защитный колпачок 2-POL-SW")</f>
        <v>Защитный колпачок 2-POL-SW</v>
      </c>
      <c r="C3641" s="5" t="s">
        <v>14</v>
      </c>
      <c r="D3641" s="6">
        <v>608.4</v>
      </c>
      <c r="E3641" s="6">
        <v>74</v>
      </c>
      <c r="F3641" s="9">
        <v>0.88</v>
      </c>
      <c r="H3641" s="11"/>
      <c r="I3641" s="11"/>
      <c r="J3641" s="11"/>
    </row>
    <row r="3642" spans="1:10" ht="15.75" x14ac:dyDescent="0.3">
      <c r="A3642" s="12" t="str">
        <f>HYPERLINK("https://parts-sales.ru/parts/MAN/81964100636","81.96410-0636")</f>
        <v>81.96410-0636</v>
      </c>
      <c r="B3642" s="12" t="str">
        <f>HYPERLINK("https://parts-sales.ru/parts/MAN/81964100636","Запорный колпак")</f>
        <v>Запорный колпак</v>
      </c>
      <c r="C3642" s="3" t="s">
        <v>14</v>
      </c>
      <c r="D3642" s="4">
        <v>178.8</v>
      </c>
      <c r="E3642" s="4">
        <v>41</v>
      </c>
      <c r="F3642" s="8">
        <v>0.77</v>
      </c>
      <c r="H3642" s="11"/>
      <c r="I3642" s="11"/>
      <c r="J3642" s="11"/>
    </row>
    <row r="3643" spans="1:10" ht="15.75" x14ac:dyDescent="0.3">
      <c r="A3643" s="13" t="str">
        <f>HYPERLINK("https://parts-sales.ru/parts/MAN/81964100660","81.96410-0660")</f>
        <v>81.96410-0660</v>
      </c>
      <c r="B3643" s="13" t="str">
        <f>HYPERLINK("https://parts-sales.ru/parts/MAN/81964100660","Наконечник A-2-SW")</f>
        <v>Наконечник A-2-SW</v>
      </c>
      <c r="C3643" s="5" t="s">
        <v>14</v>
      </c>
      <c r="D3643" s="6">
        <v>980.4</v>
      </c>
      <c r="E3643" s="6">
        <v>244</v>
      </c>
      <c r="F3643" s="9">
        <v>0.75</v>
      </c>
      <c r="H3643" s="11"/>
      <c r="I3643" s="11"/>
      <c r="J3643" s="11"/>
    </row>
    <row r="3644" spans="1:10" ht="15.75" x14ac:dyDescent="0.3">
      <c r="A3644" s="12" t="str">
        <f>HYPERLINK("https://parts-sales.ru/parts/MAN/81964100672","81.96410-0672")</f>
        <v>81.96410-0672</v>
      </c>
      <c r="B3644" s="12" t="str">
        <f>HYPERLINK("https://parts-sales.ru/parts/MAN/81964100672","Защитный колпачок SW")</f>
        <v>Защитный колпачок SW</v>
      </c>
      <c r="C3644" s="3" t="s">
        <v>14</v>
      </c>
      <c r="D3644" s="4">
        <v>675.6</v>
      </c>
      <c r="E3644" s="4">
        <v>9</v>
      </c>
      <c r="F3644" s="8">
        <v>0.99</v>
      </c>
      <c r="H3644" s="11"/>
      <c r="I3644" s="11"/>
      <c r="J3644" s="11"/>
    </row>
    <row r="3645" spans="1:10" ht="15.75" x14ac:dyDescent="0.3">
      <c r="A3645" s="13" t="str">
        <f>HYPERLINK("https://parts-sales.ru/parts/MAN/81964100681","81.96410-0681")</f>
        <v>81.96410-0681</v>
      </c>
      <c r="B3645" s="13" t="str">
        <f>HYPERLINK("https://parts-sales.ru/parts/MAN/81964100681","Колпачок")</f>
        <v>Колпачок</v>
      </c>
      <c r="C3645" s="5" t="s">
        <v>14</v>
      </c>
      <c r="D3645" s="6">
        <v>2908.8</v>
      </c>
      <c r="E3645" s="6">
        <v>683</v>
      </c>
      <c r="F3645" s="9">
        <v>0.77</v>
      </c>
      <c r="H3645" s="11"/>
      <c r="I3645" s="11"/>
      <c r="J3645" s="11"/>
    </row>
    <row r="3646" spans="1:10" ht="15.75" x14ac:dyDescent="0.3">
      <c r="A3646" s="12" t="str">
        <f>HYPERLINK("https://parts-sales.ru/parts/MAN/81964100695","81.96410-0695")</f>
        <v>81.96410-0695</v>
      </c>
      <c r="B3646" s="12" t="str">
        <f>HYPERLINK("https://parts-sales.ru/parts/MAN/81964100695","Колпачок Главный выключат. батареи")</f>
        <v>Колпачок Главный выключат. батареи</v>
      </c>
      <c r="C3646" s="3" t="s">
        <v>14</v>
      </c>
      <c r="D3646" s="4">
        <v>1659.6</v>
      </c>
      <c r="E3646" s="4">
        <v>302</v>
      </c>
      <c r="F3646" s="8">
        <v>0.82</v>
      </c>
      <c r="H3646" s="11"/>
      <c r="I3646" s="11"/>
      <c r="J3646" s="11"/>
    </row>
    <row r="3647" spans="1:10" ht="15.75" x14ac:dyDescent="0.3">
      <c r="A3647" s="13" t="str">
        <f>HYPERLINK("https://parts-sales.ru/parts/MAN/81964100702","81.96410-0702")</f>
        <v>81.96410-0702</v>
      </c>
      <c r="B3647" s="13" t="str">
        <f>HYPERLINK("https://parts-sales.ru/parts/MAN/81964100702","Заглушка 2-PBT-GF10-SW")</f>
        <v>Заглушка 2-PBT-GF10-SW</v>
      </c>
      <c r="C3647" s="5" t="s">
        <v>14</v>
      </c>
      <c r="D3647" s="6">
        <v>241.2</v>
      </c>
      <c r="E3647" s="6">
        <v>9</v>
      </c>
      <c r="F3647" s="9">
        <v>0.96</v>
      </c>
      <c r="H3647" s="11"/>
      <c r="I3647" s="11"/>
      <c r="J3647" s="11"/>
    </row>
    <row r="3648" spans="1:10" ht="15.75" x14ac:dyDescent="0.3">
      <c r="A3648" s="12" t="str">
        <f>HYPERLINK("https://parts-sales.ru/parts/MAN/81964100703","81.96410-0703")</f>
        <v>81.96410-0703</v>
      </c>
      <c r="B3648" s="12" t="str">
        <f>HYPERLINK("https://parts-sales.ru/parts/MAN/81964100703","Заглушка 4/6-PBT-GF10-SW")</f>
        <v>Заглушка 4/6-PBT-GF10-SW</v>
      </c>
      <c r="C3648" s="3" t="s">
        <v>14</v>
      </c>
      <c r="D3648" s="4">
        <v>248.4</v>
      </c>
      <c r="E3648" s="4">
        <v>9</v>
      </c>
      <c r="F3648" s="8">
        <v>0.96</v>
      </c>
      <c r="H3648" s="11"/>
      <c r="I3648" s="11"/>
      <c r="J3648" s="11"/>
    </row>
    <row r="3649" spans="1:10" ht="15.75" x14ac:dyDescent="0.3">
      <c r="A3649" s="13" t="str">
        <f>HYPERLINK("https://parts-sales.ru/parts/MAN/81964100724","81.96410-0724")</f>
        <v>81.96410-0724</v>
      </c>
      <c r="B3649" s="13" t="str">
        <f>HYPERLINK("https://parts-sales.ru/parts/MAN/81964100724","Защитный колпачок HDSCS-E")</f>
        <v>Защитный колпачок HDSCS-E</v>
      </c>
      <c r="C3649" s="5" t="s">
        <v>14</v>
      </c>
      <c r="D3649" s="6">
        <v>682.8</v>
      </c>
      <c r="E3649" s="6">
        <v>173</v>
      </c>
      <c r="F3649" s="9">
        <v>0.75</v>
      </c>
      <c r="H3649" s="11"/>
      <c r="I3649" s="11"/>
      <c r="J3649" s="11"/>
    </row>
    <row r="3650" spans="1:10" ht="15.75" x14ac:dyDescent="0.3">
      <c r="A3650" s="12" t="str">
        <f>HYPERLINK("https://parts-sales.ru/parts/MAN/81964100765","81.96410-0765")</f>
        <v>81.96410-0765</v>
      </c>
      <c r="B3650" s="12" t="str">
        <f>HYPERLINK("https://parts-sales.ru/parts/MAN/81964100765","Колпачок Главный выключат. батареи")</f>
        <v>Колпачок Главный выключат. батареи</v>
      </c>
      <c r="C3650" s="3" t="s">
        <v>14</v>
      </c>
      <c r="D3650" s="4">
        <v>1399.2</v>
      </c>
      <c r="E3650" s="4">
        <v>289</v>
      </c>
      <c r="F3650" s="8">
        <v>0.79</v>
      </c>
      <c r="H3650" s="11"/>
      <c r="I3650" s="11"/>
      <c r="J3650" s="11"/>
    </row>
    <row r="3651" spans="1:10" ht="15.75" x14ac:dyDescent="0.3">
      <c r="A3651" s="13" t="str">
        <f>HYPERLINK("https://parts-sales.ru/parts/MAN/81964200562","81.96420-0562")</f>
        <v>81.96420-0562</v>
      </c>
      <c r="B3651" s="13" t="str">
        <f>HYPERLINK("https://parts-sales.ru/parts/MAN/81964200562","Гармониковый шланг")</f>
        <v>Гармониковый шланг</v>
      </c>
      <c r="C3651" s="5" t="s">
        <v>14</v>
      </c>
      <c r="D3651" s="6">
        <v>2340</v>
      </c>
      <c r="E3651" s="6">
        <v>113</v>
      </c>
      <c r="F3651" s="9">
        <v>0.95</v>
      </c>
      <c r="H3651" s="11"/>
      <c r="I3651" s="11"/>
      <c r="J3651" s="11"/>
    </row>
    <row r="3652" spans="1:10" ht="15.75" x14ac:dyDescent="0.3">
      <c r="A3652" s="12" t="str">
        <f>HYPERLINK("https://parts-sales.ru/parts/MAN/81964200570","81.96420-0570")</f>
        <v>81.96420-0570</v>
      </c>
      <c r="B3652" s="12" t="str">
        <f>HYPERLINK("https://parts-sales.ru/parts/MAN/81964200570","Пыльник")</f>
        <v>Пыльник</v>
      </c>
      <c r="C3652" s="3" t="s">
        <v>14</v>
      </c>
      <c r="D3652" s="4">
        <v>18357.599999999999</v>
      </c>
      <c r="E3652" s="4">
        <v>1951</v>
      </c>
      <c r="F3652" s="8">
        <v>0.89</v>
      </c>
      <c r="H3652" s="11"/>
      <c r="I3652" s="11"/>
      <c r="J3652" s="11"/>
    </row>
    <row r="3653" spans="1:10" ht="15.75" x14ac:dyDescent="0.3">
      <c r="A3653" s="13" t="str">
        <f>HYPERLINK("https://parts-sales.ru/parts/MAN/81965010577","81.96501-0577")</f>
        <v>81.96501-0577</v>
      </c>
      <c r="B3653" s="13" t="str">
        <f>HYPERLINK("https://parts-sales.ru/parts/MAN/81965010577","Уплотнительное кольцо 15X2MM")</f>
        <v>Уплотнительное кольцо 15X2MM</v>
      </c>
      <c r="C3653" s="5" t="s">
        <v>6</v>
      </c>
      <c r="D3653" s="6">
        <v>440.4</v>
      </c>
      <c r="E3653" s="6">
        <v>127</v>
      </c>
      <c r="F3653" s="9">
        <v>0.71</v>
      </c>
      <c r="H3653" s="11"/>
      <c r="I3653" s="11"/>
      <c r="J3653" s="11"/>
    </row>
    <row r="3654" spans="1:10" ht="15.75" x14ac:dyDescent="0.3">
      <c r="A3654" s="12" t="str">
        <f>HYPERLINK("https://parts-sales.ru/parts/MAN/81965010683","81.96501-0683")</f>
        <v>81.96501-0683</v>
      </c>
      <c r="B3654" s="12" t="str">
        <f>HYPERLINK("https://parts-sales.ru/parts/MAN/81965010683","Круглое уплотнение 18,72X2,62-FPM1-70-BR")</f>
        <v>Круглое уплотнение 18,72X2,62-FPM1-70-BR</v>
      </c>
      <c r="C3654" s="3" t="s">
        <v>6</v>
      </c>
      <c r="D3654" s="4">
        <v>1298.4000000000001</v>
      </c>
      <c r="E3654" s="4">
        <v>303</v>
      </c>
      <c r="F3654" s="8">
        <v>0.77</v>
      </c>
      <c r="H3654" s="11"/>
      <c r="I3654" s="11"/>
      <c r="J3654" s="11"/>
    </row>
    <row r="3655" spans="1:10" ht="15.75" x14ac:dyDescent="0.3">
      <c r="A3655" s="13" t="str">
        <f>HYPERLINK("https://parts-sales.ru/parts/MAN/81965010870","81.96501-0870")</f>
        <v>81.96501-0870</v>
      </c>
      <c r="B3655" s="13" t="str">
        <f>HYPERLINK("https://parts-sales.ru/parts/MAN/81965010870","Уплотнительное кольцо 50X69,6X10-PUR-OEL")</f>
        <v>Уплотнительное кольцо 50X69,6X10-PUR-OEL</v>
      </c>
      <c r="C3655" s="5" t="s">
        <v>6</v>
      </c>
      <c r="D3655" s="6">
        <v>2783.69</v>
      </c>
      <c r="E3655" s="6">
        <v>1276</v>
      </c>
      <c r="F3655" s="9">
        <v>0.54</v>
      </c>
      <c r="H3655" s="11"/>
      <c r="I3655" s="11"/>
      <c r="J3655" s="11"/>
    </row>
    <row r="3656" spans="1:10" ht="15.75" x14ac:dyDescent="0.3">
      <c r="A3656" s="12" t="str">
        <f>HYPERLINK("https://parts-sales.ru/parts/MAN/81965010871","81.96501-0871")</f>
        <v>81.96501-0871</v>
      </c>
      <c r="B3656" s="12" t="str">
        <f>HYPERLINK("https://parts-sales.ru/parts/MAN/81965010871","Уплотнительное кольцо 50X69,6X15-PUR-OEL")</f>
        <v>Уплотнительное кольцо 50X69,6X15-PUR-OEL</v>
      </c>
      <c r="C3656" s="3" t="s">
        <v>6</v>
      </c>
      <c r="D3656" s="4">
        <v>2690.35</v>
      </c>
      <c r="E3656" s="4">
        <v>1255</v>
      </c>
      <c r="F3656" s="8">
        <v>0.53</v>
      </c>
      <c r="H3656" s="11"/>
      <c r="I3656" s="11"/>
      <c r="J3656" s="11"/>
    </row>
    <row r="3657" spans="1:10" ht="15.75" x14ac:dyDescent="0.3">
      <c r="A3657" s="13" t="str">
        <f>HYPERLINK("https://parts-sales.ru/parts/MAN/81965020042","81.96502-0042")</f>
        <v>81.96502-0042</v>
      </c>
      <c r="B3657" s="13" t="str">
        <f>HYPERLINK("https://parts-sales.ru/parts/MAN/81965020042","Уплотнительное кольцо 9,7X19,1X1,5-ST/NB")</f>
        <v>Уплотнительное кольцо 9,7X19,1X1,5-ST/NB</v>
      </c>
      <c r="C3657" s="5" t="s">
        <v>6</v>
      </c>
      <c r="D3657" s="6">
        <v>886.8</v>
      </c>
      <c r="E3657" s="6">
        <v>158</v>
      </c>
      <c r="F3657" s="9">
        <v>0.82</v>
      </c>
      <c r="H3657" s="11"/>
      <c r="I3657" s="11"/>
      <c r="J3657" s="11"/>
    </row>
    <row r="3658" spans="1:10" ht="15.75" x14ac:dyDescent="0.3">
      <c r="A3658" s="12" t="str">
        <f>HYPERLINK("https://parts-sales.ru/parts/MAN/81965020654","81.96502-0654")</f>
        <v>81.96502-0654</v>
      </c>
      <c r="B3658" s="12" t="str">
        <f>HYPERLINK("https://parts-sales.ru/parts/MAN/81965020654","Круглое уплотнение 32,92X3,53-NBR--80-KA")</f>
        <v>Круглое уплотнение 32,92X3,53-NBR--80-KA</v>
      </c>
      <c r="C3658" s="3" t="s">
        <v>6</v>
      </c>
      <c r="D3658" s="4">
        <v>3286.8</v>
      </c>
      <c r="E3658" s="4">
        <v>440</v>
      </c>
      <c r="F3658" s="8">
        <v>0.87</v>
      </c>
      <c r="H3658" s="11"/>
      <c r="I3658" s="11"/>
      <c r="J3658" s="11"/>
    </row>
    <row r="3659" spans="1:10" ht="15.75" x14ac:dyDescent="0.3">
      <c r="A3659" s="13" t="str">
        <f>HYPERLINK("https://parts-sales.ru/parts/MAN/81965020712","81.96502-0712")</f>
        <v>81.96502-0712</v>
      </c>
      <c r="B3659" s="13" t="str">
        <f>HYPERLINK("https://parts-sales.ru/parts/MAN/81965020712","Уплотнительное кольцо")</f>
        <v>Уплотнительное кольцо</v>
      </c>
      <c r="C3659" s="5" t="s">
        <v>6</v>
      </c>
      <c r="D3659" s="6">
        <v>1851.6</v>
      </c>
      <c r="E3659" s="6">
        <v>433</v>
      </c>
      <c r="F3659" s="9">
        <v>0.77</v>
      </c>
      <c r="H3659" s="11"/>
      <c r="I3659" s="11"/>
      <c r="J3659" s="11"/>
    </row>
    <row r="3660" spans="1:10" ht="15.75" x14ac:dyDescent="0.3">
      <c r="A3660" s="12" t="str">
        <f>HYPERLINK("https://parts-sales.ru/parts/MAN/81965020897","81.96502-0897")</f>
        <v>81.96502-0897</v>
      </c>
      <c r="B3660" s="12" t="str">
        <f>HYPERLINK("https://parts-sales.ru/parts/MAN/81965020897","Круглое уплотнение 63X2-FKM--80")</f>
        <v>Круглое уплотнение 63X2-FKM--80</v>
      </c>
      <c r="C3660" s="3" t="s">
        <v>6</v>
      </c>
      <c r="D3660" s="4">
        <v>3418.8</v>
      </c>
      <c r="E3660" s="4">
        <v>692</v>
      </c>
      <c r="F3660" s="8">
        <v>0.8</v>
      </c>
      <c r="H3660" s="11"/>
      <c r="I3660" s="11"/>
      <c r="J3660" s="11"/>
    </row>
    <row r="3661" spans="1:10" ht="15.75" x14ac:dyDescent="0.3">
      <c r="A3661" s="13" t="str">
        <f>HYPERLINK("https://parts-sales.ru/parts/MAN/81965030103","81.96503-0103")</f>
        <v>81.96503-0103</v>
      </c>
      <c r="B3661" s="13" t="str">
        <f>HYPERLINK("https://parts-sales.ru/parts/MAN/81965030103","Круглое уплотнение 18X2,2-FKM--80")</f>
        <v>Круглое уплотнение 18X2,2-FKM--80</v>
      </c>
      <c r="C3661" s="5" t="s">
        <v>6</v>
      </c>
      <c r="D3661" s="6">
        <v>488.4</v>
      </c>
      <c r="E3661" s="6">
        <v>162</v>
      </c>
      <c r="F3661" s="9">
        <v>0.67</v>
      </c>
      <c r="H3661" s="11"/>
      <c r="I3661" s="11"/>
      <c r="J3661" s="11"/>
    </row>
    <row r="3662" spans="1:10" ht="15.75" x14ac:dyDescent="0.3">
      <c r="A3662" s="12" t="str">
        <f>HYPERLINK("https://parts-sales.ru/parts/MAN/81965030139","81.96503-0139")</f>
        <v>81.96503-0139</v>
      </c>
      <c r="B3662" s="12" t="str">
        <f>HYPERLINK("https://parts-sales.ru/parts/MAN/81965030139","Радиальное уплотнение вала 80X100X10LD-F")</f>
        <v>Радиальное уплотнение вала 80X100X10LD-F</v>
      </c>
      <c r="C3662" s="3" t="s">
        <v>6</v>
      </c>
      <c r="D3662" s="4">
        <v>8844</v>
      </c>
      <c r="E3662" s="4">
        <v>1898</v>
      </c>
      <c r="F3662" s="8">
        <v>0.79</v>
      </c>
      <c r="H3662" s="11"/>
      <c r="I3662" s="11"/>
      <c r="J3662" s="11"/>
    </row>
    <row r="3663" spans="1:10" ht="15.75" x14ac:dyDescent="0.3">
      <c r="A3663" s="13" t="str">
        <f>HYPERLINK("https://parts-sales.ru/parts/MAN/81965030227","81.96503-0227")</f>
        <v>81.96503-0227</v>
      </c>
      <c r="B3663" s="13" t="str">
        <f>HYPERLINK("https://parts-sales.ru/parts/MAN/81965030227","Радиальное уплотнение вала 48X65X10RD-FK")</f>
        <v>Радиальное уплотнение вала 48X65X10RD-FK</v>
      </c>
      <c r="C3663" s="5" t="s">
        <v>6</v>
      </c>
      <c r="D3663" s="6">
        <v>5870.4</v>
      </c>
      <c r="E3663" s="6">
        <v>945</v>
      </c>
      <c r="F3663" s="9">
        <v>0.84</v>
      </c>
      <c r="H3663" s="11"/>
      <c r="I3663" s="11"/>
      <c r="J3663" s="11"/>
    </row>
    <row r="3664" spans="1:10" ht="15.75" x14ac:dyDescent="0.3">
      <c r="A3664" s="12" t="str">
        <f>HYPERLINK("https://parts-sales.ru/parts/MAN/81965030234","81.96503-0234")</f>
        <v>81.96503-0234</v>
      </c>
      <c r="B3664" s="12" t="str">
        <f>HYPERLINK("https://parts-sales.ru/parts/MAN/81965030234","Уплотнительное кольцо")</f>
        <v>Уплотнительное кольцо</v>
      </c>
      <c r="C3664" s="3" t="s">
        <v>6</v>
      </c>
      <c r="D3664" s="4">
        <v>3202.8</v>
      </c>
      <c r="E3664" s="4">
        <v>764</v>
      </c>
      <c r="F3664" s="8">
        <v>0.76</v>
      </c>
      <c r="H3664" s="11"/>
      <c r="I3664" s="11"/>
      <c r="J3664" s="11"/>
    </row>
    <row r="3665" spans="1:10" ht="15.75" x14ac:dyDescent="0.3">
      <c r="A3665" s="13" t="str">
        <f>HYPERLINK("https://parts-sales.ru/parts/MAN/81965030235","81.96503-0235")</f>
        <v>81.96503-0235</v>
      </c>
      <c r="B3665" s="13" t="str">
        <f>HYPERLINK("https://parts-sales.ru/parts/MAN/81965030235","Уплотнительное кольцо")</f>
        <v>Уплотнительное кольцо</v>
      </c>
      <c r="C3665" s="5" t="s">
        <v>6</v>
      </c>
      <c r="D3665" s="6">
        <v>2714.4</v>
      </c>
      <c r="E3665" s="6">
        <v>633</v>
      </c>
      <c r="F3665" s="9">
        <v>0.77</v>
      </c>
      <c r="H3665" s="11"/>
      <c r="I3665" s="11"/>
      <c r="J3665" s="11"/>
    </row>
    <row r="3666" spans="1:10" ht="15.75" x14ac:dyDescent="0.3">
      <c r="A3666" s="12" t="str">
        <f>HYPERLINK("https://parts-sales.ru/parts/MAN/81965030296","81.96503-0296")</f>
        <v>81.96503-0296</v>
      </c>
      <c r="B3666" s="12" t="str">
        <f>HYPERLINK("https://parts-sales.ru/parts/MAN/81965030296","Круглое уплотнение 15,2X2,5")</f>
        <v>Круглое уплотнение 15,2X2,5</v>
      </c>
      <c r="C3666" s="3" t="s">
        <v>6</v>
      </c>
      <c r="D3666" s="4">
        <v>2511.6</v>
      </c>
      <c r="E3666" s="4">
        <v>583</v>
      </c>
      <c r="F3666" s="8">
        <v>0.77</v>
      </c>
      <c r="H3666" s="11"/>
      <c r="I3666" s="11"/>
      <c r="J3666" s="11"/>
    </row>
    <row r="3667" spans="1:10" ht="15.75" x14ac:dyDescent="0.3">
      <c r="A3667" s="13" t="str">
        <f>HYPERLINK("https://parts-sales.ru/parts/MAN/81965030307","81.96503-0307")</f>
        <v>81.96503-0307</v>
      </c>
      <c r="B3667" s="13" t="str">
        <f>HYPERLINK("https://parts-sales.ru/parts/MAN/81965030307","Круглое уплотнение 107,54X3,53-EPDM-70")</f>
        <v>Круглое уплотнение 107,54X3,53-EPDM-70</v>
      </c>
      <c r="C3667" s="5" t="s">
        <v>6</v>
      </c>
      <c r="D3667" s="6">
        <v>5265.6</v>
      </c>
      <c r="E3667" s="6">
        <v>1069</v>
      </c>
      <c r="F3667" s="9">
        <v>0.8</v>
      </c>
      <c r="H3667" s="11"/>
      <c r="I3667" s="11"/>
      <c r="J3667" s="11"/>
    </row>
    <row r="3668" spans="1:10" ht="15.75" x14ac:dyDescent="0.3">
      <c r="A3668" s="12" t="str">
        <f>HYPERLINK("https://parts-sales.ru/parts/MAN/81965030319","81.96503-0319")</f>
        <v>81.96503-0319</v>
      </c>
      <c r="B3668" s="12" t="str">
        <f>HYPERLINK("https://parts-sales.ru/parts/MAN/81965030319","Радиальное уплотнение вала 52X72X8")</f>
        <v>Радиальное уплотнение вала 52X72X8</v>
      </c>
      <c r="C3668" s="3" t="s">
        <v>6</v>
      </c>
      <c r="D3668" s="4">
        <v>16768.8</v>
      </c>
      <c r="E3668" s="4">
        <v>2878</v>
      </c>
      <c r="F3668" s="8">
        <v>0.83</v>
      </c>
      <c r="H3668" s="11"/>
      <c r="I3668" s="11"/>
      <c r="J3668" s="11"/>
    </row>
    <row r="3669" spans="1:10" ht="15.75" x14ac:dyDescent="0.3">
      <c r="A3669" s="13" t="str">
        <f>HYPERLINK("https://parts-sales.ru/parts/MAN/81965030392","81.96503-0392")</f>
        <v>81.96503-0392</v>
      </c>
      <c r="B3669" s="13" t="str">
        <f>HYPERLINK("https://parts-sales.ru/parts/MAN/81965030392","Радиальное уплотнение вала 39X46X8,8-NBR")</f>
        <v>Радиальное уплотнение вала 39X46X8,8-NBR</v>
      </c>
      <c r="C3669" s="5" t="s">
        <v>6</v>
      </c>
      <c r="D3669" s="6">
        <v>2511.6</v>
      </c>
      <c r="E3669" s="6">
        <v>586</v>
      </c>
      <c r="F3669" s="9">
        <v>0.77</v>
      </c>
      <c r="H3669" s="11"/>
      <c r="I3669" s="11"/>
      <c r="J3669" s="11"/>
    </row>
    <row r="3670" spans="1:10" ht="15.75" x14ac:dyDescent="0.3">
      <c r="A3670" s="12" t="str">
        <f>HYPERLINK("https://parts-sales.ru/parts/MAN/81965030398","81.96503-0398")</f>
        <v>81.96503-0398</v>
      </c>
      <c r="B3670" s="12" t="str">
        <f>HYPERLINK("https://parts-sales.ru/parts/MAN/81965030398","Сальник 135X175X18-FPM/ACM-Z=100-M.IMP")</f>
        <v>Сальник 135X175X18-FPM/ACM-Z=100-M.IMP</v>
      </c>
      <c r="C3670" s="3" t="s">
        <v>6</v>
      </c>
      <c r="D3670" s="4">
        <v>18732</v>
      </c>
      <c r="E3670" s="4">
        <v>6313</v>
      </c>
      <c r="F3670" s="8">
        <v>0.66</v>
      </c>
      <c r="H3670" s="11"/>
      <c r="I3670" s="11"/>
      <c r="J3670" s="11"/>
    </row>
    <row r="3671" spans="1:10" ht="15.75" x14ac:dyDescent="0.3">
      <c r="A3671" s="13" t="str">
        <f>HYPERLINK("https://parts-sales.ru/parts/MAN/81965030401","81.96503-0401")</f>
        <v>81.96503-0401</v>
      </c>
      <c r="B3671" s="13" t="str">
        <f>HYPERLINK("https://parts-sales.ru/parts/MAN/81965030401","Круглое уплотнение 11X2,5-HNBR-70-GN")</f>
        <v>Круглое уплотнение 11X2,5-HNBR-70-GN</v>
      </c>
      <c r="C3671" s="5" t="s">
        <v>6</v>
      </c>
      <c r="D3671" s="6">
        <v>2511.6</v>
      </c>
      <c r="E3671" s="6">
        <v>389</v>
      </c>
      <c r="F3671" s="9">
        <v>0.85</v>
      </c>
      <c r="H3671" s="11"/>
      <c r="I3671" s="11"/>
      <c r="J3671" s="11"/>
    </row>
    <row r="3672" spans="1:10" ht="15.75" x14ac:dyDescent="0.3">
      <c r="A3672" s="12" t="str">
        <f>HYPERLINK("https://parts-sales.ru/parts/MAN/81965030452","81.96503-0452")</f>
        <v>81.96503-0452</v>
      </c>
      <c r="B3672" s="12" t="str">
        <f>HYPERLINK("https://parts-sales.ru/parts/MAN/81965030452","Радиальное уплотнение вала")</f>
        <v>Радиальное уплотнение вала</v>
      </c>
      <c r="C3672" s="3" t="s">
        <v>6</v>
      </c>
      <c r="D3672" s="4">
        <v>2908.8</v>
      </c>
      <c r="E3672" s="4">
        <v>618</v>
      </c>
      <c r="F3672" s="8">
        <v>0.79</v>
      </c>
      <c r="H3672" s="11"/>
      <c r="I3672" s="11"/>
      <c r="J3672" s="11"/>
    </row>
    <row r="3673" spans="1:10" ht="15.75" x14ac:dyDescent="0.3">
      <c r="A3673" s="13" t="str">
        <f>HYPERLINK("https://parts-sales.ru/parts/MAN/81965030454","81.96503-0454")</f>
        <v>81.96503-0454</v>
      </c>
      <c r="B3673" s="13" t="str">
        <f>HYPERLINK("https://parts-sales.ru/parts/MAN/81965030454","Круглое уплотнение 490X6-MOOSGUMMI")</f>
        <v>Круглое уплотнение 490X6-MOOSGUMMI</v>
      </c>
      <c r="C3673" s="5" t="s">
        <v>6</v>
      </c>
      <c r="D3673" s="6">
        <v>1264.8</v>
      </c>
      <c r="E3673" s="6">
        <v>377</v>
      </c>
      <c r="F3673" s="9">
        <v>0.7</v>
      </c>
      <c r="H3673" s="11"/>
      <c r="I3673" s="11"/>
      <c r="J3673" s="11"/>
    </row>
    <row r="3674" spans="1:10" ht="15.75" x14ac:dyDescent="0.3">
      <c r="A3674" s="12" t="str">
        <f>HYPERLINK("https://parts-sales.ru/parts/MAN/81965030467","81.96503-0467")</f>
        <v>81.96503-0467</v>
      </c>
      <c r="B3674" s="12" t="str">
        <f>HYPERLINK("https://parts-sales.ru/parts/MAN/81965030467","Круглое уплотнение")</f>
        <v>Круглое уплотнение</v>
      </c>
      <c r="C3674" s="3" t="s">
        <v>6</v>
      </c>
      <c r="D3674" s="4">
        <v>699.6</v>
      </c>
      <c r="E3674" s="4">
        <v>218</v>
      </c>
      <c r="F3674" s="8">
        <v>0.69</v>
      </c>
      <c r="H3674" s="11"/>
      <c r="I3674" s="11"/>
      <c r="J3674" s="11"/>
    </row>
    <row r="3675" spans="1:10" ht="15.75" x14ac:dyDescent="0.3">
      <c r="A3675" s="13" t="str">
        <f>HYPERLINK("https://parts-sales.ru/parts/MAN/81965030516","81.96503-0516")</f>
        <v>81.96503-0516</v>
      </c>
      <c r="B3675" s="13" t="str">
        <f>HYPERLINK("https://parts-sales.ru/parts/MAN/81965030516","Уплотнительное кольцо")</f>
        <v>Уплотнительное кольцо</v>
      </c>
      <c r="C3675" s="5" t="s">
        <v>6</v>
      </c>
      <c r="D3675" s="6">
        <v>2908.8</v>
      </c>
      <c r="E3675" s="6">
        <v>595</v>
      </c>
      <c r="F3675" s="9">
        <v>0.8</v>
      </c>
      <c r="H3675" s="11"/>
      <c r="I3675" s="11"/>
      <c r="J3675" s="11"/>
    </row>
    <row r="3676" spans="1:10" ht="15.75" x14ac:dyDescent="0.3">
      <c r="A3676" s="12" t="str">
        <f>HYPERLINK("https://parts-sales.ru/parts/MAN/81965030537","81.96503-0537")</f>
        <v>81.96503-0537</v>
      </c>
      <c r="B3676" s="12" t="str">
        <f>HYPERLINK("https://parts-sales.ru/parts/MAN/81965030537","Круглое уплотнение 44X2,5-FPM--70")</f>
        <v>Круглое уплотнение 44X2,5-FPM--70</v>
      </c>
      <c r="C3676" s="3" t="s">
        <v>6</v>
      </c>
      <c r="D3676" s="4">
        <v>810</v>
      </c>
      <c r="E3676" s="4">
        <v>328</v>
      </c>
      <c r="F3676" s="8">
        <v>0.6</v>
      </c>
      <c r="H3676" s="11"/>
      <c r="I3676" s="11"/>
      <c r="J3676" s="11"/>
    </row>
    <row r="3677" spans="1:10" ht="15.75" x14ac:dyDescent="0.3">
      <c r="A3677" s="13" t="str">
        <f>HYPERLINK("https://parts-sales.ru/parts/MAN/81965030540","81.96503-0540")</f>
        <v>81.96503-0540</v>
      </c>
      <c r="B3677" s="13" t="str">
        <f>HYPERLINK("https://parts-sales.ru/parts/MAN/81965030540","Радиальное уплотнение вала")</f>
        <v>Радиальное уплотнение вала</v>
      </c>
      <c r="C3677" s="5" t="s">
        <v>6</v>
      </c>
      <c r="D3677" s="6">
        <v>3942.5</v>
      </c>
      <c r="E3677" s="6">
        <v>2366</v>
      </c>
      <c r="F3677" s="9">
        <v>0.4</v>
      </c>
      <c r="H3677" s="11"/>
      <c r="I3677" s="11"/>
      <c r="J3677" s="11"/>
    </row>
    <row r="3678" spans="1:10" ht="15.75" x14ac:dyDescent="0.3">
      <c r="A3678" s="12" t="str">
        <f>HYPERLINK("https://parts-sales.ru/parts/MAN/81965030543","81.96503-0543")</f>
        <v>81.96503-0543</v>
      </c>
      <c r="B3678" s="12" t="str">
        <f>HYPERLINK("https://parts-sales.ru/parts/MAN/81965030543","Круглое уплотнение 247,32X2,62-NBR-70")</f>
        <v>Круглое уплотнение 247,32X2,62-NBR-70</v>
      </c>
      <c r="C3678" s="3" t="s">
        <v>6</v>
      </c>
      <c r="D3678" s="4">
        <v>2611.1999999999998</v>
      </c>
      <c r="E3678" s="4">
        <v>680</v>
      </c>
      <c r="F3678" s="8">
        <v>0.74</v>
      </c>
      <c r="H3678" s="11"/>
      <c r="I3678" s="11"/>
      <c r="J3678" s="11"/>
    </row>
    <row r="3679" spans="1:10" ht="15.75" x14ac:dyDescent="0.3">
      <c r="A3679" s="13" t="str">
        <f>HYPERLINK("https://parts-sales.ru/parts/MAN/81965030544","81.96503-0544")</f>
        <v>81.96503-0544</v>
      </c>
      <c r="B3679" s="13" t="str">
        <f>HYPERLINK("https://parts-sales.ru/parts/MAN/81965030544","Круглое уплотнение 12,37X2,62-NBR-80")</f>
        <v>Круглое уплотнение 12,37X2,62-NBR-80</v>
      </c>
      <c r="C3679" s="5" t="s">
        <v>6</v>
      </c>
      <c r="D3679" s="6">
        <v>919.2</v>
      </c>
      <c r="E3679" s="6">
        <v>192</v>
      </c>
      <c r="F3679" s="9">
        <v>0.79</v>
      </c>
      <c r="H3679" s="11"/>
      <c r="I3679" s="11"/>
      <c r="J3679" s="11"/>
    </row>
    <row r="3680" spans="1:10" ht="15.75" x14ac:dyDescent="0.3">
      <c r="A3680" s="12" t="str">
        <f>HYPERLINK("https://parts-sales.ru/parts/MAN/81965030549","81.96503-0549")</f>
        <v>81.96503-0549</v>
      </c>
      <c r="B3680" s="12" t="str">
        <f>HYPERLINK("https://parts-sales.ru/parts/MAN/81965030549","Радиальное уплотнение вала")</f>
        <v>Радиальное уплотнение вала</v>
      </c>
      <c r="C3680" s="3" t="s">
        <v>6</v>
      </c>
      <c r="D3680" s="4">
        <v>8844</v>
      </c>
      <c r="E3680" s="4">
        <v>1902</v>
      </c>
      <c r="F3680" s="8">
        <v>0.78</v>
      </c>
      <c r="H3680" s="11"/>
      <c r="I3680" s="11"/>
      <c r="J3680" s="11"/>
    </row>
    <row r="3681" spans="1:10" ht="15.75" x14ac:dyDescent="0.3">
      <c r="A3681" s="13" t="str">
        <f>HYPERLINK("https://parts-sales.ru/parts/MAN/81965030595","81.96503-0595")</f>
        <v>81.96503-0595</v>
      </c>
      <c r="B3681" s="13" t="str">
        <f>HYPERLINK("https://parts-sales.ru/parts/MAN/81965030595","Круглое уплотнение CNG ECE-R110")</f>
        <v>Круглое уплотнение CNG ECE-R110</v>
      </c>
      <c r="C3681" s="5" t="s">
        <v>6</v>
      </c>
      <c r="D3681" s="6">
        <v>2794.09</v>
      </c>
      <c r="E3681" s="6">
        <v>1300</v>
      </c>
      <c r="F3681" s="9">
        <v>0.53</v>
      </c>
      <c r="H3681" s="11"/>
      <c r="I3681" s="11"/>
      <c r="J3681" s="11"/>
    </row>
    <row r="3682" spans="1:10" ht="15.75" x14ac:dyDescent="0.3">
      <c r="A3682" s="12" t="str">
        <f>HYPERLINK("https://parts-sales.ru/parts/MAN/81965030684","81.96503-0684")</f>
        <v>81.96503-0684</v>
      </c>
      <c r="B3682" s="12" t="str">
        <f>HYPERLINK("https://parts-sales.ru/parts/MAN/81965030684","Уплотнение")</f>
        <v>Уплотнение</v>
      </c>
      <c r="C3682" s="3" t="s">
        <v>6</v>
      </c>
      <c r="D3682" s="4">
        <v>660</v>
      </c>
      <c r="E3682" s="4">
        <v>218</v>
      </c>
      <c r="F3682" s="8">
        <v>0.67</v>
      </c>
      <c r="H3682" s="11"/>
      <c r="I3682" s="11"/>
      <c r="J3682" s="11"/>
    </row>
    <row r="3683" spans="1:10" ht="15.75" x14ac:dyDescent="0.3">
      <c r="A3683" s="13" t="str">
        <f>HYPERLINK("https://parts-sales.ru/parts/MAN/81965030694","81.96503-0694")</f>
        <v>81.96503-0694</v>
      </c>
      <c r="B3683" s="13" t="str">
        <f>HYPERLINK("https://parts-sales.ru/parts/MAN/81965030694","Круглое уплотнение 25,1X1,6")</f>
        <v>Круглое уплотнение 25,1X1,6</v>
      </c>
      <c r="C3683" s="5" t="s">
        <v>6</v>
      </c>
      <c r="D3683" s="6">
        <v>724.8</v>
      </c>
      <c r="E3683" s="6">
        <v>181</v>
      </c>
      <c r="F3683" s="9">
        <v>0.75</v>
      </c>
      <c r="H3683" s="11"/>
      <c r="I3683" s="11"/>
      <c r="J3683" s="11"/>
    </row>
    <row r="3684" spans="1:10" ht="15.75" x14ac:dyDescent="0.3">
      <c r="A3684" s="12" t="str">
        <f>HYPERLINK("https://parts-sales.ru/parts/MAN/81965030713","81.96503-0713")</f>
        <v>81.96503-0713</v>
      </c>
      <c r="B3684" s="12" t="str">
        <f>HYPERLINK("https://parts-sales.ru/parts/MAN/81965030713","Кольцо с пазом")</f>
        <v>Кольцо с пазом</v>
      </c>
      <c r="C3684" s="3" t="s">
        <v>6</v>
      </c>
      <c r="D3684" s="4">
        <v>6124.8</v>
      </c>
      <c r="E3684" s="4">
        <v>936</v>
      </c>
      <c r="F3684" s="8">
        <v>0.85</v>
      </c>
      <c r="H3684" s="11"/>
      <c r="I3684" s="11"/>
      <c r="J3684" s="11"/>
    </row>
    <row r="3685" spans="1:10" ht="15.75" x14ac:dyDescent="0.3">
      <c r="A3685" s="13" t="str">
        <f>HYPERLINK("https://parts-sales.ru/parts/MAN/81965030726","81.96503-0726")</f>
        <v>81.96503-0726</v>
      </c>
      <c r="B3685" s="13" t="str">
        <f>HYPERLINK("https://parts-sales.ru/parts/MAN/81965030726","Круглое уплотнение NBR")</f>
        <v>Круглое уплотнение NBR</v>
      </c>
      <c r="C3685" s="5" t="s">
        <v>6</v>
      </c>
      <c r="D3685" s="6">
        <v>174</v>
      </c>
      <c r="E3685" s="6">
        <v>46</v>
      </c>
      <c r="F3685" s="9">
        <v>0.74</v>
      </c>
      <c r="H3685" s="11"/>
      <c r="I3685" s="11"/>
      <c r="J3685" s="11"/>
    </row>
    <row r="3686" spans="1:10" ht="15.75" x14ac:dyDescent="0.3">
      <c r="A3686" s="12" t="str">
        <f>HYPERLINK("https://parts-sales.ru/parts/MAN/81965030727","81.96503-0727")</f>
        <v>81.96503-0727</v>
      </c>
      <c r="B3686" s="12" t="str">
        <f>HYPERLINK("https://parts-sales.ru/parts/MAN/81965030727","Круглое уплотнение FPM")</f>
        <v>Круглое уплотнение FPM</v>
      </c>
      <c r="C3686" s="3" t="s">
        <v>6</v>
      </c>
      <c r="D3686" s="4">
        <v>608.4</v>
      </c>
      <c r="E3686" s="4">
        <v>170</v>
      </c>
      <c r="F3686" s="8">
        <v>0.72</v>
      </c>
      <c r="H3686" s="11"/>
      <c r="I3686" s="11"/>
      <c r="J3686" s="11"/>
    </row>
    <row r="3687" spans="1:10" ht="15.75" x14ac:dyDescent="0.3">
      <c r="A3687" s="13" t="str">
        <f>HYPERLINK("https://parts-sales.ru/parts/MAN/81965030729","81.96503-0729")</f>
        <v>81.96503-0729</v>
      </c>
      <c r="B3687" s="13" t="str">
        <f>HYPERLINK("https://parts-sales.ru/parts/MAN/81965030729","Круглое уплотнение 27X2")</f>
        <v>Круглое уплотнение 27X2</v>
      </c>
      <c r="C3687" s="5" t="s">
        <v>6</v>
      </c>
      <c r="D3687" s="6">
        <v>840</v>
      </c>
      <c r="E3687" s="6">
        <v>194</v>
      </c>
      <c r="F3687" s="9">
        <v>0.77</v>
      </c>
      <c r="H3687" s="11"/>
      <c r="I3687" s="11"/>
      <c r="J3687" s="11"/>
    </row>
    <row r="3688" spans="1:10" ht="15.75" x14ac:dyDescent="0.3">
      <c r="A3688" s="12" t="str">
        <f>HYPERLINK("https://parts-sales.ru/parts/MAN/81965030735","81.96503-0735")</f>
        <v>81.96503-0735</v>
      </c>
      <c r="B3688" s="12" t="str">
        <f>HYPERLINK("https://parts-sales.ru/parts/MAN/81965030735","Круглое уплотнение")</f>
        <v>Круглое уплотнение</v>
      </c>
      <c r="C3688" s="3" t="s">
        <v>6</v>
      </c>
      <c r="D3688" s="4">
        <v>883.2</v>
      </c>
      <c r="E3688" s="4">
        <v>209</v>
      </c>
      <c r="F3688" s="8">
        <v>0.76</v>
      </c>
      <c r="H3688" s="11"/>
      <c r="I3688" s="11"/>
      <c r="J3688" s="11"/>
    </row>
    <row r="3689" spans="1:10" ht="15.75" x14ac:dyDescent="0.3">
      <c r="A3689" s="13" t="str">
        <f>HYPERLINK("https://parts-sales.ru/parts/MAN/81966010157","81.96601-0157")</f>
        <v>81.96601-0157</v>
      </c>
      <c r="B3689" s="13" t="str">
        <f>HYPERLINK("https://parts-sales.ru/parts/MAN/81966010157","Уплотнительное кольцо")</f>
        <v>Уплотнительное кольцо</v>
      </c>
      <c r="C3689" s="5" t="s">
        <v>6</v>
      </c>
      <c r="D3689" s="6">
        <v>1046.4000000000001</v>
      </c>
      <c r="E3689" s="6">
        <v>239</v>
      </c>
      <c r="F3689" s="9">
        <v>0.77</v>
      </c>
      <c r="H3689" s="11"/>
      <c r="I3689" s="11"/>
      <c r="J3689" s="11"/>
    </row>
    <row r="3690" spans="1:10" ht="15.75" x14ac:dyDescent="0.3">
      <c r="A3690" s="12" t="str">
        <f>HYPERLINK("https://parts-sales.ru/parts/MAN/81966010393","81.96601-0393")</f>
        <v>81.96601-0393</v>
      </c>
      <c r="B3690" s="12" t="str">
        <f>HYPERLINK("https://parts-sales.ru/parts/MAN/81966010393","Уплотнительное кольцо 32X42X5-PUR")</f>
        <v>Уплотнительное кольцо 32X42X5-PUR</v>
      </c>
      <c r="C3690" s="3" t="s">
        <v>6</v>
      </c>
      <c r="D3690" s="4">
        <v>1658.4</v>
      </c>
      <c r="E3690" s="4">
        <v>384</v>
      </c>
      <c r="F3690" s="8">
        <v>0.77</v>
      </c>
      <c r="H3690" s="11"/>
      <c r="I3690" s="11"/>
      <c r="J3690" s="11"/>
    </row>
    <row r="3691" spans="1:10" ht="15.75" x14ac:dyDescent="0.3">
      <c r="A3691" s="13" t="str">
        <f>HYPERLINK("https://parts-sales.ru/parts/MAN/81966010434","81.96601-0434")</f>
        <v>81.96601-0434</v>
      </c>
      <c r="B3691" s="13" t="str">
        <f>HYPERLINK("https://parts-sales.ru/parts/MAN/81966010434","Уплотнение")</f>
        <v>Уплотнение</v>
      </c>
      <c r="C3691" s="5" t="s">
        <v>6</v>
      </c>
      <c r="D3691" s="6">
        <v>712.8</v>
      </c>
      <c r="E3691" s="6">
        <v>233</v>
      </c>
      <c r="F3691" s="9">
        <v>0.67</v>
      </c>
      <c r="H3691" s="11"/>
      <c r="I3691" s="11"/>
      <c r="J3691" s="11"/>
    </row>
    <row r="3692" spans="1:10" ht="15.75" x14ac:dyDescent="0.3">
      <c r="A3692" s="12" t="str">
        <f>HYPERLINK("https://parts-sales.ru/parts/MAN/81966010567","81.96601-0567")</f>
        <v>81.96601-0567</v>
      </c>
      <c r="B3692" s="12" t="str">
        <f>HYPERLINK("https://parts-sales.ru/parts/MAN/81966010567","Уплотнение")</f>
        <v>Уплотнение</v>
      </c>
      <c r="C3692" s="3" t="s">
        <v>6</v>
      </c>
      <c r="D3692" s="4">
        <v>406.8</v>
      </c>
      <c r="E3692" s="4">
        <v>21</v>
      </c>
      <c r="F3692" s="8">
        <v>0.95</v>
      </c>
      <c r="H3692" s="11"/>
      <c r="I3692" s="11"/>
      <c r="J3692" s="11"/>
    </row>
    <row r="3693" spans="1:10" ht="15.75" x14ac:dyDescent="0.3">
      <c r="A3693" s="13" t="str">
        <f>HYPERLINK("https://parts-sales.ru/parts/MAN/81966010643","81.96601-0643")</f>
        <v>81.96601-0643</v>
      </c>
      <c r="B3693" s="13" t="str">
        <f>HYPERLINK("https://parts-sales.ru/parts/MAN/81966010643","Уплотнение")</f>
        <v>Уплотнение</v>
      </c>
      <c r="C3693" s="5" t="s">
        <v>6</v>
      </c>
      <c r="D3693" s="6">
        <v>2512.8000000000002</v>
      </c>
      <c r="E3693" s="6">
        <v>463</v>
      </c>
      <c r="F3693" s="9">
        <v>0.82</v>
      </c>
      <c r="H3693" s="11"/>
      <c r="I3693" s="11"/>
      <c r="J3693" s="11"/>
    </row>
    <row r="3694" spans="1:10" ht="15.75" x14ac:dyDescent="0.3">
      <c r="A3694" s="12" t="str">
        <f>HYPERLINK("https://parts-sales.ru/parts/MAN/81966010686","81.96601-0686")</f>
        <v>81.96601-0686</v>
      </c>
      <c r="B3694" s="12" t="str">
        <f>HYPERLINK("https://parts-sales.ru/parts/MAN/81966010686","Уплотнение")</f>
        <v>Уплотнение</v>
      </c>
      <c r="C3694" s="3" t="s">
        <v>6</v>
      </c>
      <c r="D3694" s="4">
        <v>2511.6</v>
      </c>
      <c r="E3694" s="4">
        <v>586</v>
      </c>
      <c r="F3694" s="8">
        <v>0.77</v>
      </c>
      <c r="H3694" s="11"/>
      <c r="I3694" s="11"/>
      <c r="J3694" s="11"/>
    </row>
    <row r="3695" spans="1:10" ht="15.75" x14ac:dyDescent="0.3">
      <c r="A3695" s="13" t="str">
        <f>HYPERLINK("https://parts-sales.ru/parts/MAN/81966010689","81.96601-0689")</f>
        <v>81.96601-0689</v>
      </c>
      <c r="B3695" s="13" t="str">
        <f>HYPERLINK("https://parts-sales.ru/parts/MAN/81966010689","Уплотнение")</f>
        <v>Уплотнение</v>
      </c>
      <c r="C3695" s="5" t="s">
        <v>6</v>
      </c>
      <c r="D3695" s="6">
        <v>1843.2</v>
      </c>
      <c r="E3695" s="6">
        <v>356</v>
      </c>
      <c r="F3695" s="9">
        <v>0.81</v>
      </c>
      <c r="H3695" s="11"/>
      <c r="I3695" s="11"/>
      <c r="J3695" s="11"/>
    </row>
    <row r="3696" spans="1:10" ht="15.75" x14ac:dyDescent="0.3">
      <c r="A3696" s="12" t="str">
        <f>HYPERLINK("https://parts-sales.ru/parts/MAN/81966010714","81.96601-0714")</f>
        <v>81.96601-0714</v>
      </c>
      <c r="B3696" s="12" t="str">
        <f>HYPERLINK("https://parts-sales.ru/parts/MAN/81966010714","Уплотнение")</f>
        <v>Уплотнение</v>
      </c>
      <c r="C3696" s="3" t="s">
        <v>6</v>
      </c>
      <c r="D3696" s="4">
        <v>3202.8</v>
      </c>
      <c r="E3696" s="4">
        <v>516</v>
      </c>
      <c r="F3696" s="8">
        <v>0.84</v>
      </c>
      <c r="H3696" s="11"/>
      <c r="I3696" s="11"/>
      <c r="J3696" s="11"/>
    </row>
    <row r="3697" spans="1:10" ht="15.75" x14ac:dyDescent="0.3">
      <c r="A3697" s="13" t="str">
        <f>HYPERLINK("https://parts-sales.ru/parts/MAN/81966010719","81.96601-0719")</f>
        <v>81.96601-0719</v>
      </c>
      <c r="B3697" s="13" t="str">
        <f>HYPERLINK("https://parts-sales.ru/parts/MAN/81966010719","Уплотнение")</f>
        <v>Уплотнение</v>
      </c>
      <c r="C3697" s="5" t="s">
        <v>6</v>
      </c>
      <c r="D3697" s="6">
        <v>1502.4</v>
      </c>
      <c r="E3697" s="6">
        <v>346</v>
      </c>
      <c r="F3697" s="9">
        <v>0.77</v>
      </c>
      <c r="H3697" s="11"/>
      <c r="I3697" s="11"/>
      <c r="J3697" s="11"/>
    </row>
    <row r="3698" spans="1:10" ht="15.75" x14ac:dyDescent="0.3">
      <c r="A3698" s="12" t="str">
        <f>HYPERLINK("https://parts-sales.ru/parts/MAN/81966010738","81.96601-0738")</f>
        <v>81.96601-0738</v>
      </c>
      <c r="B3698" s="12" t="str">
        <f>HYPERLINK("https://parts-sales.ru/parts/MAN/81966010738","Уплотнение")</f>
        <v>Уплотнение</v>
      </c>
      <c r="C3698" s="3" t="s">
        <v>6</v>
      </c>
      <c r="D3698" s="4">
        <v>1502.4</v>
      </c>
      <c r="E3698" s="4">
        <v>346</v>
      </c>
      <c r="F3698" s="8">
        <v>0.77</v>
      </c>
      <c r="H3698" s="11"/>
      <c r="I3698" s="11"/>
      <c r="J3698" s="11"/>
    </row>
    <row r="3699" spans="1:10" ht="15.75" x14ac:dyDescent="0.3">
      <c r="A3699" s="13" t="str">
        <f>HYPERLINK("https://parts-sales.ru/parts/MAN/81966010760","81.96601-0760")</f>
        <v>81.96601-0760</v>
      </c>
      <c r="B3699" s="13" t="str">
        <f>HYPERLINK("https://parts-sales.ru/parts/MAN/81966010760","Уплотнительное кольцо 12,5X29X3-EPDM1-70")</f>
        <v>Уплотнительное кольцо 12,5X29X3-EPDM1-70</v>
      </c>
      <c r="C3699" s="5" t="s">
        <v>6</v>
      </c>
      <c r="D3699" s="6">
        <v>2252.4</v>
      </c>
      <c r="E3699" s="6">
        <v>553</v>
      </c>
      <c r="F3699" s="9">
        <v>0.75</v>
      </c>
      <c r="H3699" s="11"/>
      <c r="I3699" s="11"/>
      <c r="J3699" s="11"/>
    </row>
    <row r="3700" spans="1:10" ht="15.75" x14ac:dyDescent="0.3">
      <c r="A3700" s="12" t="str">
        <f>HYPERLINK("https://parts-sales.ru/parts/MAN/81966010762","81.96601-0762")</f>
        <v>81.96601-0762</v>
      </c>
      <c r="B3700" s="12" t="str">
        <f>HYPERLINK("https://parts-sales.ru/parts/MAN/81966010762","Уплотнение")</f>
        <v>Уплотнение</v>
      </c>
      <c r="C3700" s="3" t="s">
        <v>6</v>
      </c>
      <c r="D3700" s="4">
        <v>2511.6</v>
      </c>
      <c r="E3700" s="4">
        <v>598</v>
      </c>
      <c r="F3700" s="8">
        <v>0.76</v>
      </c>
      <c r="H3700" s="11"/>
      <c r="I3700" s="11"/>
      <c r="J3700" s="11"/>
    </row>
    <row r="3701" spans="1:10" ht="15.75" x14ac:dyDescent="0.3">
      <c r="A3701" s="13" t="str">
        <f>HYPERLINK("https://parts-sales.ru/parts/MAN/81966010767","81.96601-0767")</f>
        <v>81.96601-0767</v>
      </c>
      <c r="B3701" s="13" t="str">
        <f>HYPERLINK("https://parts-sales.ru/parts/MAN/81966010767","Уплотнительное кольцо")</f>
        <v>Уплотнительное кольцо</v>
      </c>
      <c r="C3701" s="5" t="s">
        <v>6</v>
      </c>
      <c r="D3701" s="6">
        <v>326.39999999999998</v>
      </c>
      <c r="E3701" s="6">
        <v>80</v>
      </c>
      <c r="F3701" s="9">
        <v>0.75</v>
      </c>
      <c r="H3701" s="11"/>
      <c r="I3701" s="11"/>
      <c r="J3701" s="11"/>
    </row>
    <row r="3702" spans="1:10" ht="15.75" x14ac:dyDescent="0.3">
      <c r="A3702" s="12" t="str">
        <f>HYPERLINK("https://parts-sales.ru/parts/MAN/81930210062","81.93021-0062")</f>
        <v>81.93021-0062</v>
      </c>
      <c r="B3702" s="12" t="str">
        <f>HYPERLINK("https://parts-sales.ru/parts/MAN/81930210062","Втулка")</f>
        <v>Втулка</v>
      </c>
      <c r="C3702" s="3" t="s">
        <v>12</v>
      </c>
      <c r="D3702" s="4">
        <v>8216.4</v>
      </c>
      <c r="E3702" s="4">
        <v>1491</v>
      </c>
      <c r="F3702" s="8">
        <v>0.82</v>
      </c>
      <c r="H3702" s="11"/>
      <c r="I3702" s="11"/>
      <c r="J3702" s="11"/>
    </row>
    <row r="3703" spans="1:10" ht="15.75" x14ac:dyDescent="0.3">
      <c r="A3703" s="13" t="str">
        <f>HYPERLINK("https://parts-sales.ru/parts/MAN/81930210143","81.93021-0143")</f>
        <v>81.93021-0143</v>
      </c>
      <c r="B3703" s="13" t="str">
        <f>HYPERLINK("https://parts-sales.ru/parts/MAN/81930210143","Втулка")</f>
        <v>Втулка</v>
      </c>
      <c r="C3703" s="5" t="s">
        <v>12</v>
      </c>
      <c r="D3703" s="6">
        <v>18888</v>
      </c>
      <c r="E3703" s="6">
        <v>3842</v>
      </c>
      <c r="F3703" s="9">
        <v>0.8</v>
      </c>
      <c r="H3703" s="11"/>
      <c r="I3703" s="11"/>
      <c r="J3703" s="11"/>
    </row>
    <row r="3704" spans="1:10" ht="15.75" x14ac:dyDescent="0.3">
      <c r="A3704" s="12" t="str">
        <f>HYPERLINK("https://parts-sales.ru/parts/MAN/81930210196","81.93021-0196")</f>
        <v>81.93021-0196</v>
      </c>
      <c r="B3704" s="12" t="str">
        <f>HYPERLINK("https://parts-sales.ru/parts/MAN/81930210196","Втулка 9X16X28-ST35-A3C")</f>
        <v>Втулка 9X16X28-ST35-A3C</v>
      </c>
      <c r="C3704" s="3" t="s">
        <v>12</v>
      </c>
      <c r="D3704" s="4">
        <v>2077.1999999999998</v>
      </c>
      <c r="E3704" s="4">
        <v>113</v>
      </c>
      <c r="F3704" s="8">
        <v>0.95</v>
      </c>
      <c r="H3704" s="11"/>
      <c r="I3704" s="11"/>
      <c r="J3704" s="11"/>
    </row>
    <row r="3705" spans="1:10" ht="15.75" x14ac:dyDescent="0.3">
      <c r="A3705" s="13" t="str">
        <f>HYPERLINK("https://parts-sales.ru/parts/MAN/81970010585","81.97001-0585")</f>
        <v>81.97001-0585</v>
      </c>
      <c r="B3705" s="13" t="str">
        <f>HYPERLINK("https://parts-sales.ru/parts/MAN/81970010585","Входная ручка L/R 40-49")</f>
        <v>Входная ручка L/R 40-49</v>
      </c>
      <c r="C3705" s="5" t="s">
        <v>15</v>
      </c>
      <c r="D3705" s="6">
        <v>6992.4</v>
      </c>
      <c r="E3705" s="6">
        <v>1446</v>
      </c>
      <c r="F3705" s="9">
        <v>0.79</v>
      </c>
      <c r="H3705" s="11"/>
      <c r="I3705" s="11"/>
      <c r="J3705" s="11"/>
    </row>
    <row r="3706" spans="1:10" ht="15.75" x14ac:dyDescent="0.3">
      <c r="A3706" s="12" t="str">
        <f>HYPERLINK("https://parts-sales.ru/parts/MAN/81970010588","81.97001-0588")</f>
        <v>81.97001-0588</v>
      </c>
      <c r="B3706" s="12" t="str">
        <f>HYPERLINK("https://parts-sales.ru/parts/MAN/81970010588","Входная ручка L/R10-39")</f>
        <v>Входная ручка L/R10-39</v>
      </c>
      <c r="C3706" s="3" t="s">
        <v>15</v>
      </c>
      <c r="D3706" s="4">
        <v>6565.2</v>
      </c>
      <c r="E3706" s="4">
        <v>1979</v>
      </c>
      <c r="F3706" s="8">
        <v>0.7</v>
      </c>
      <c r="H3706" s="11"/>
      <c r="I3706" s="11"/>
      <c r="J3706" s="11"/>
    </row>
    <row r="3707" spans="1:10" ht="15.75" x14ac:dyDescent="0.3">
      <c r="A3707" s="13" t="str">
        <f>HYPERLINK("https://parts-sales.ru/parts/MAN/81970060036","81.97006-0036")</f>
        <v>81.97006-0036</v>
      </c>
      <c r="B3707" s="13" t="str">
        <f>HYPERLINK("https://parts-sales.ru/parts/MAN/81970060036","Газовая пневматич. подвеска")</f>
        <v>Газовая пневматич. подвеска</v>
      </c>
      <c r="C3707" s="5" t="s">
        <v>15</v>
      </c>
      <c r="D3707" s="6">
        <v>8134.8</v>
      </c>
      <c r="E3707" s="6">
        <v>2563</v>
      </c>
      <c r="F3707" s="9">
        <v>0.68</v>
      </c>
      <c r="H3707" s="11"/>
      <c r="I3707" s="11"/>
      <c r="J3707" s="11"/>
    </row>
    <row r="3708" spans="1:10" ht="15.75" x14ac:dyDescent="0.3">
      <c r="A3708" s="12" t="str">
        <f>HYPERLINK("https://parts-sales.ru/parts/MAN/81930210257","81.93021-0257")</f>
        <v>81.93021-0257</v>
      </c>
      <c r="B3708" s="12" t="str">
        <f>HYPERLINK("https://parts-sales.ru/parts/MAN/81930210257","Втулка 15X26X35-ST50-2-A4C")</f>
        <v>Втулка 15X26X35-ST50-2-A4C</v>
      </c>
      <c r="C3708" s="3" t="s">
        <v>12</v>
      </c>
      <c r="D3708" s="4">
        <v>3217.2</v>
      </c>
      <c r="E3708" s="4">
        <v>666</v>
      </c>
      <c r="F3708" s="8">
        <v>0.79</v>
      </c>
      <c r="H3708" s="11"/>
      <c r="I3708" s="11"/>
      <c r="J3708" s="11"/>
    </row>
    <row r="3709" spans="1:10" ht="15.75" x14ac:dyDescent="0.3">
      <c r="A3709" s="13" t="str">
        <f>HYPERLINK("https://parts-sales.ru/parts/MAN/81930210311","81.93021-0311")</f>
        <v>81.93021-0311</v>
      </c>
      <c r="B3709" s="13" t="str">
        <f>HYPERLINK("https://parts-sales.ru/parts/MAN/81930210311","Втулка 30X34X48-ST/KS940S")</f>
        <v>Втулка 30X34X48-ST/KS940S</v>
      </c>
      <c r="C3709" s="5" t="s">
        <v>12</v>
      </c>
      <c r="D3709" s="6">
        <v>3471.6</v>
      </c>
      <c r="E3709" s="6">
        <v>1013</v>
      </c>
      <c r="F3709" s="9">
        <v>0.71</v>
      </c>
      <c r="H3709" s="11"/>
      <c r="I3709" s="11"/>
      <c r="J3709" s="11"/>
    </row>
    <row r="3710" spans="1:10" ht="15.75" x14ac:dyDescent="0.3">
      <c r="A3710" s="12" t="str">
        <f>HYPERLINK("https://parts-sales.ru/parts/MAN/81930210369","81.93021-0369")</f>
        <v>81.93021-0369</v>
      </c>
      <c r="B3710" s="12" t="str">
        <f>HYPERLINK("https://parts-sales.ru/parts/MAN/81930210369","Втулка")</f>
        <v>Втулка</v>
      </c>
      <c r="C3710" s="3" t="s">
        <v>12</v>
      </c>
      <c r="D3710" s="4">
        <v>3140.4</v>
      </c>
      <c r="E3710" s="4">
        <v>697</v>
      </c>
      <c r="F3710" s="8">
        <v>0.78</v>
      </c>
      <c r="H3710" s="11"/>
      <c r="I3710" s="11"/>
      <c r="J3710" s="11"/>
    </row>
    <row r="3711" spans="1:10" ht="15.75" x14ac:dyDescent="0.3">
      <c r="A3711" s="13" t="str">
        <f>HYPERLINK("https://parts-sales.ru/parts/MAN/81930210384","81.93021-0384")</f>
        <v>81.93021-0384</v>
      </c>
      <c r="B3711" s="13" t="str">
        <f>HYPERLINK("https://parts-sales.ru/parts/MAN/81930210384","Втулка 9X12X50-ST35GBK-MAN183-B4")</f>
        <v>Втулка 9X12X50-ST35GBK-MAN183-B4</v>
      </c>
      <c r="C3711" s="5" t="s">
        <v>12</v>
      </c>
      <c r="D3711" s="6">
        <v>224.4</v>
      </c>
      <c r="E3711" s="6">
        <v>18</v>
      </c>
      <c r="F3711" s="9">
        <v>0.92</v>
      </c>
      <c r="H3711" s="11"/>
      <c r="I3711" s="11"/>
      <c r="J3711" s="11"/>
    </row>
    <row r="3712" spans="1:10" ht="15.75" x14ac:dyDescent="0.3">
      <c r="A3712" s="12" t="str">
        <f>HYPERLINK("https://parts-sales.ru/parts/MAN/81930210388","81.93021-0388")</f>
        <v>81.93021-0388</v>
      </c>
      <c r="B3712" s="12" t="str">
        <f>HYPERLINK("https://parts-sales.ru/parts/MAN/81930210388","Втулка")</f>
        <v>Втулка</v>
      </c>
      <c r="C3712" s="3" t="s">
        <v>12</v>
      </c>
      <c r="D3712" s="4">
        <v>13320</v>
      </c>
      <c r="E3712" s="4">
        <v>3087</v>
      </c>
      <c r="F3712" s="8">
        <v>0.77</v>
      </c>
      <c r="H3712" s="11"/>
      <c r="I3712" s="11"/>
      <c r="J3712" s="11"/>
    </row>
    <row r="3713" spans="1:10" ht="15.75" x14ac:dyDescent="0.3">
      <c r="A3713" s="13" t="str">
        <f>HYPERLINK("https://parts-sales.ru/parts/MAN/81930300208","81.93030-0208")</f>
        <v>81.93030-0208</v>
      </c>
      <c r="B3713" s="13" t="str">
        <f>HYPERLINK("https://parts-sales.ru/parts/MAN/81930300208","Распорный держатель")</f>
        <v>Распорный держатель</v>
      </c>
      <c r="C3713" s="5" t="s">
        <v>12</v>
      </c>
      <c r="D3713" s="6">
        <v>294</v>
      </c>
      <c r="E3713" s="6">
        <v>2</v>
      </c>
      <c r="F3713" s="9">
        <v>0.99</v>
      </c>
      <c r="H3713" s="11"/>
      <c r="I3713" s="11"/>
      <c r="J3713" s="11"/>
    </row>
    <row r="3714" spans="1:10" ht="15.75" x14ac:dyDescent="0.3">
      <c r="A3714" s="12" t="str">
        <f>HYPERLINK("https://parts-sales.ru/parts/MAN/81930300216","81.93030-0216")</f>
        <v>81.93030-0216</v>
      </c>
      <c r="B3714" s="12" t="str">
        <f>HYPERLINK("https://parts-sales.ru/parts/MAN/81930300216","Шайба 15X35X10-ST35-MAN183-B1")</f>
        <v>Шайба 15X35X10-ST35-MAN183-B1</v>
      </c>
      <c r="C3714" s="3" t="s">
        <v>12</v>
      </c>
      <c r="D3714" s="4">
        <v>1382.4</v>
      </c>
      <c r="E3714" s="4">
        <v>62</v>
      </c>
      <c r="F3714" s="8">
        <v>0.96</v>
      </c>
      <c r="H3714" s="11"/>
      <c r="I3714" s="11"/>
      <c r="J3714" s="11"/>
    </row>
    <row r="3715" spans="1:10" ht="15.75" x14ac:dyDescent="0.3">
      <c r="A3715" s="13" t="str">
        <f>HYPERLINK("https://parts-sales.ru/parts/MAN/81930300258","81.93030-0258")</f>
        <v>81.93030-0258</v>
      </c>
      <c r="B3715" s="13" t="str">
        <f>HYPERLINK("https://parts-sales.ru/parts/MAN/81930300258","Втулка 12,4X20X10-MAN318-PA")</f>
        <v>Втулка 12,4X20X10-MAN318-PA</v>
      </c>
      <c r="C3715" s="5" t="s">
        <v>12</v>
      </c>
      <c r="D3715" s="6">
        <v>368.4</v>
      </c>
      <c r="E3715" s="6">
        <v>4</v>
      </c>
      <c r="F3715" s="9">
        <v>0.99</v>
      </c>
      <c r="H3715" s="11"/>
      <c r="I3715" s="11"/>
      <c r="J3715" s="11"/>
    </row>
    <row r="3716" spans="1:10" ht="15.75" x14ac:dyDescent="0.3">
      <c r="A3716" s="12" t="str">
        <f>HYPERLINK("https://parts-sales.ru/parts/MAN/81930300259","81.93030-0259")</f>
        <v>81.93030-0259</v>
      </c>
      <c r="B3716" s="12" t="str">
        <f>HYPERLINK("https://parts-sales.ru/parts/MAN/81930300259","Втулка 12,4X20X35,8-MAN318-PA")</f>
        <v>Втулка 12,4X20X35,8-MAN318-PA</v>
      </c>
      <c r="C3716" s="3" t="s">
        <v>12</v>
      </c>
      <c r="D3716" s="4">
        <v>616.79999999999995</v>
      </c>
      <c r="E3716" s="4">
        <v>8</v>
      </c>
      <c r="F3716" s="8">
        <v>0.99</v>
      </c>
      <c r="H3716" s="11"/>
      <c r="I3716" s="11"/>
      <c r="J3716" s="11"/>
    </row>
    <row r="3717" spans="1:10" ht="15.75" x14ac:dyDescent="0.3">
      <c r="A3717" s="13" t="str">
        <f>HYPERLINK("https://parts-sales.ru/parts/MAN/81930300275","81.93030-0275")</f>
        <v>81.93030-0275</v>
      </c>
      <c r="B3717" s="13" t="str">
        <f>HYPERLINK("https://parts-sales.ru/parts/MAN/81930300275","Распорный держатель")</f>
        <v>Распорный держатель</v>
      </c>
      <c r="C3717" s="5" t="s">
        <v>12</v>
      </c>
      <c r="D3717" s="6">
        <v>294</v>
      </c>
      <c r="E3717" s="6">
        <v>45</v>
      </c>
      <c r="F3717" s="9">
        <v>0.85</v>
      </c>
      <c r="H3717" s="11"/>
      <c r="I3717" s="11"/>
      <c r="J3717" s="11"/>
    </row>
    <row r="3718" spans="1:10" ht="15.75" x14ac:dyDescent="0.3">
      <c r="A3718" s="12" t="str">
        <f>HYPERLINK("https://parts-sales.ru/parts/MAN/81930300279","81.93030-0279")</f>
        <v>81.93030-0279</v>
      </c>
      <c r="B3718" s="12" t="str">
        <f>HYPERLINK("https://parts-sales.ru/parts/MAN/81930300279","Втулка 8X28X20-PA-SW")</f>
        <v>Втулка 8X28X20-PA-SW</v>
      </c>
      <c r="C3718" s="3" t="s">
        <v>12</v>
      </c>
      <c r="D3718" s="4">
        <v>1035.5999999999999</v>
      </c>
      <c r="E3718" s="4">
        <v>391</v>
      </c>
      <c r="F3718" s="8">
        <v>0.62</v>
      </c>
      <c r="H3718" s="11"/>
      <c r="I3718" s="11"/>
      <c r="J3718" s="11"/>
    </row>
    <row r="3719" spans="1:10" ht="15.75" x14ac:dyDescent="0.3">
      <c r="A3719" s="13" t="str">
        <f>HYPERLINK("https://parts-sales.ru/parts/MAN/81930300280","81.93030-0280")</f>
        <v>81.93030-0280</v>
      </c>
      <c r="B3719" s="13" t="str">
        <f>HYPERLINK("https://parts-sales.ru/parts/MAN/81930300280","Втулка 7X10X5,6-ST35BK-A3C")</f>
        <v>Втулка 7X10X5,6-ST35BK-A3C</v>
      </c>
      <c r="C3719" s="5" t="s">
        <v>12</v>
      </c>
      <c r="D3719" s="6">
        <v>288</v>
      </c>
      <c r="E3719" s="6">
        <v>10</v>
      </c>
      <c r="F3719" s="9">
        <v>0.97</v>
      </c>
      <c r="H3719" s="11"/>
      <c r="I3719" s="11"/>
      <c r="J3719" s="11"/>
    </row>
    <row r="3720" spans="1:10" ht="15.75" x14ac:dyDescent="0.3">
      <c r="A3720" s="12" t="str">
        <f>HYPERLINK("https://parts-sales.ru/parts/MAN/81930300304","81.93030-0304")</f>
        <v>81.93030-0304</v>
      </c>
      <c r="B3720" s="12" t="str">
        <f>HYPERLINK("https://parts-sales.ru/parts/MAN/81930300304","Зажимная гильза")</f>
        <v>Зажимная гильза</v>
      </c>
      <c r="C3720" s="3" t="s">
        <v>12</v>
      </c>
      <c r="D3720" s="4">
        <v>4634.3999999999996</v>
      </c>
      <c r="E3720" s="4">
        <v>1810</v>
      </c>
      <c r="F3720" s="8">
        <v>0.61</v>
      </c>
      <c r="H3720" s="11"/>
      <c r="I3720" s="11"/>
      <c r="J3720" s="11"/>
    </row>
    <row r="3721" spans="1:10" ht="15.75" x14ac:dyDescent="0.3">
      <c r="A3721" s="13" t="str">
        <f>HYPERLINK("https://parts-sales.ru/parts/MAN/81930300320","81.93030-0320")</f>
        <v>81.93030-0320</v>
      </c>
      <c r="B3721" s="13" t="str">
        <f>HYPERLINK("https://parts-sales.ru/parts/MAN/81930300320","Дистанционная гильза")</f>
        <v>Дистанционная гильза</v>
      </c>
      <c r="C3721" s="5" t="s">
        <v>12</v>
      </c>
      <c r="D3721" s="6">
        <v>294</v>
      </c>
      <c r="E3721" s="6">
        <v>57</v>
      </c>
      <c r="F3721" s="9">
        <v>0.81</v>
      </c>
      <c r="H3721" s="11"/>
      <c r="I3721" s="11"/>
      <c r="J3721" s="11"/>
    </row>
    <row r="3722" spans="1:10" ht="15.75" x14ac:dyDescent="0.3">
      <c r="A3722" s="12" t="str">
        <f>HYPERLINK("https://parts-sales.ru/parts/MAN/81930300352","81.93030-0352")</f>
        <v>81.93030-0352</v>
      </c>
      <c r="B3722" s="12" t="str">
        <f>HYPERLINK("https://parts-sales.ru/parts/MAN/81930300352","Распорная втулка 6,5X15X16/24X6-PA-SW")</f>
        <v>Распорная втулка 6,5X15X16/24X6-PA-SW</v>
      </c>
      <c r="C3722" s="3" t="s">
        <v>12</v>
      </c>
      <c r="D3722" s="4">
        <v>2308.8000000000002</v>
      </c>
      <c r="E3722" s="4">
        <v>543</v>
      </c>
      <c r="F3722" s="8">
        <v>0.76</v>
      </c>
      <c r="H3722" s="11"/>
      <c r="I3722" s="11"/>
      <c r="J3722" s="11"/>
    </row>
    <row r="3723" spans="1:10" ht="15.75" x14ac:dyDescent="0.3">
      <c r="A3723" s="13" t="str">
        <f>HYPERLINK("https://parts-sales.ru/parts/MAN/81934200420","81.93420-0420")</f>
        <v>81.93420-0420</v>
      </c>
      <c r="B3723" s="13" t="str">
        <f>HYPERLINK("https://parts-sales.ru/parts/MAN/81934200420","Кольцо")</f>
        <v>Кольцо</v>
      </c>
      <c r="C3723" s="5" t="s">
        <v>12</v>
      </c>
      <c r="D3723" s="6">
        <v>12867.6</v>
      </c>
      <c r="E3723" s="6">
        <v>3275</v>
      </c>
      <c r="F3723" s="9">
        <v>0.75</v>
      </c>
      <c r="H3723" s="11"/>
      <c r="I3723" s="11"/>
      <c r="J3723" s="11"/>
    </row>
    <row r="3724" spans="1:10" ht="15.75" x14ac:dyDescent="0.3">
      <c r="A3724" s="12" t="str">
        <f>HYPERLINK("https://parts-sales.ru/parts/MAN/81940990083","81.94099-0083")</f>
        <v>81.94099-0083</v>
      </c>
      <c r="B3724" s="12" t="str">
        <f>HYPERLINK("https://parts-sales.ru/parts/MAN/81940990083","Болт A28H9X30-ST50-2K")</f>
        <v>Болт A28H9X30-ST50-2K</v>
      </c>
      <c r="C3724" s="3" t="s">
        <v>12</v>
      </c>
      <c r="D3724" s="4">
        <v>1545.6</v>
      </c>
      <c r="E3724" s="4">
        <v>174</v>
      </c>
      <c r="F3724" s="8">
        <v>0.89</v>
      </c>
      <c r="H3724" s="11"/>
      <c r="I3724" s="11"/>
      <c r="J3724" s="11"/>
    </row>
    <row r="3725" spans="1:10" ht="15.75" x14ac:dyDescent="0.3">
      <c r="A3725" s="13" t="str">
        <f>HYPERLINK("https://parts-sales.ru/parts/MAN/81942890199","81.94289-0199")</f>
        <v>81.94289-0199</v>
      </c>
      <c r="B3725" s="13" t="str">
        <f>HYPERLINK("https://parts-sales.ru/parts/MAN/81942890199","Втулка 10X18X15-ST35-A3C")</f>
        <v>Втулка 10X18X15-ST35-A3C</v>
      </c>
      <c r="C3725" s="5" t="s">
        <v>12</v>
      </c>
      <c r="D3725" s="6">
        <v>828</v>
      </c>
      <c r="E3725" s="6">
        <v>178</v>
      </c>
      <c r="F3725" s="9">
        <v>0.79</v>
      </c>
      <c r="H3725" s="11"/>
      <c r="I3725" s="11"/>
      <c r="J3725" s="11"/>
    </row>
    <row r="3726" spans="1:10" ht="15.75" x14ac:dyDescent="0.3">
      <c r="A3726" s="12" t="str">
        <f>HYPERLINK("https://parts-sales.ru/parts/MAN/81942970152","81.94297-0152")</f>
        <v>81.94297-0152</v>
      </c>
      <c r="B3726" s="12" t="str">
        <f>HYPERLINK("https://parts-sales.ru/parts/MAN/81942970152","Патрубок")</f>
        <v>Патрубок</v>
      </c>
      <c r="C3726" s="3" t="s">
        <v>12</v>
      </c>
      <c r="D3726" s="4">
        <v>3693.6</v>
      </c>
      <c r="E3726" s="4">
        <v>1096</v>
      </c>
      <c r="F3726" s="8">
        <v>0.7</v>
      </c>
      <c r="H3726" s="11"/>
      <c r="I3726" s="11"/>
      <c r="J3726" s="11"/>
    </row>
    <row r="3727" spans="1:10" ht="15.75" x14ac:dyDescent="0.3">
      <c r="A3727" s="13" t="str">
        <f>HYPERLINK("https://parts-sales.ru/parts/MAN/81942992775","81.94299-2775")</f>
        <v>81.94299-2775</v>
      </c>
      <c r="B3727" s="13" t="str">
        <f>HYPERLINK("https://parts-sales.ru/parts/MAN/81942992775","Стальная труба 16X2,5X23+-0,2-E235")</f>
        <v>Стальная труба 16X2,5X23+-0,2-E235</v>
      </c>
      <c r="C3727" s="5" t="s">
        <v>12</v>
      </c>
      <c r="D3727" s="6">
        <v>2295.6</v>
      </c>
      <c r="E3727" s="6">
        <v>823</v>
      </c>
      <c r="F3727" s="9">
        <v>0.64</v>
      </c>
      <c r="H3727" s="11"/>
      <c r="I3727" s="11"/>
      <c r="J3727" s="11"/>
    </row>
    <row r="3728" spans="1:10" ht="15.75" x14ac:dyDescent="0.3">
      <c r="A3728" s="12" t="str">
        <f>HYPERLINK("https://parts-sales.ru/parts/MAN/85942990015","85.94299-0015")</f>
        <v>85.94299-0015</v>
      </c>
      <c r="B3728" s="12" t="str">
        <f>HYPERLINK("https://parts-sales.ru/parts/MAN/85942990015","Втулка 13X22X79,5-ST52-3BK")</f>
        <v>Втулка 13X22X79,5-ST52-3BK</v>
      </c>
      <c r="C3728" s="3" t="s">
        <v>12</v>
      </c>
      <c r="D3728" s="4">
        <v>1598.4</v>
      </c>
      <c r="E3728" s="4">
        <v>310</v>
      </c>
      <c r="F3728" s="8">
        <v>0.81</v>
      </c>
      <c r="H3728" s="11"/>
      <c r="I3728" s="11"/>
      <c r="J3728" s="11"/>
    </row>
    <row r="3729" spans="1:10" ht="15.75" x14ac:dyDescent="0.3">
      <c r="A3729" s="13" t="str">
        <f>HYPERLINK("https://parts-sales.ru/parts/MAN/88942990083","88.94299-0083")</f>
        <v>88.94299-0083</v>
      </c>
      <c r="B3729" s="13" t="str">
        <f>HYPERLINK("https://parts-sales.ru/parts/MAN/88942990083","Втулка 9X15X18-ST35-A4C")</f>
        <v>Втулка 9X15X18-ST35-A4C</v>
      </c>
      <c r="C3729" s="5" t="s">
        <v>12</v>
      </c>
      <c r="D3729" s="6">
        <v>574.79999999999995</v>
      </c>
      <c r="E3729" s="6">
        <v>141</v>
      </c>
      <c r="F3729" s="9">
        <v>0.75</v>
      </c>
      <c r="H3729" s="11"/>
      <c r="I3729" s="11"/>
      <c r="J3729" s="11"/>
    </row>
    <row r="3730" spans="1:10" ht="15.75" x14ac:dyDescent="0.3">
      <c r="A3730" s="12" t="str">
        <f>HYPERLINK("https://parts-sales.ru/parts/MAN/81951010142","81.95101-0142")</f>
        <v>81.95101-0142</v>
      </c>
      <c r="B3730" s="12" t="str">
        <f>HYPERLINK("https://parts-sales.ru/parts/MAN/81951010142","Установочный штифт M8X50X50X260-ST50-2K-")</f>
        <v>Установочный штифт M8X50X50X260-ST50-2K-</v>
      </c>
      <c r="C3730" s="3" t="s">
        <v>12</v>
      </c>
      <c r="D3730" s="4">
        <v>1743.6</v>
      </c>
      <c r="E3730" s="4">
        <v>204</v>
      </c>
      <c r="F3730" s="8">
        <v>0.88</v>
      </c>
      <c r="H3730" s="11"/>
      <c r="I3730" s="11"/>
      <c r="J3730" s="11"/>
    </row>
    <row r="3731" spans="1:10" ht="15.75" x14ac:dyDescent="0.3">
      <c r="A3731" s="13" t="str">
        <f>HYPERLINK("https://parts-sales.ru/parts/MAN/81951200164","81.95120-0164")</f>
        <v>81.95120-0164</v>
      </c>
      <c r="B3731" s="13" t="str">
        <f>HYPERLINK("https://parts-sales.ru/parts/MAN/81951200164","Резьбовая штанга M8X30X58X250-ST50-2K-A2")</f>
        <v>Резьбовая штанга M8X30X58X250-ST50-2K-A2</v>
      </c>
      <c r="C3731" s="5" t="s">
        <v>12</v>
      </c>
      <c r="D3731" s="6">
        <v>2584.8000000000002</v>
      </c>
      <c r="E3731" s="6">
        <v>597</v>
      </c>
      <c r="F3731" s="9">
        <v>0.77</v>
      </c>
      <c r="H3731" s="11"/>
      <c r="I3731" s="11"/>
      <c r="J3731" s="11"/>
    </row>
    <row r="3732" spans="1:10" ht="15.75" x14ac:dyDescent="0.3">
      <c r="A3732" s="12" t="str">
        <f>HYPERLINK("https://parts-sales.ru/parts/MAN/81953016132","81.95301-6132")</f>
        <v>81.95301-6132</v>
      </c>
      <c r="B3732" s="12" t="str">
        <f>HYPERLINK("https://parts-sales.ru/parts/MAN/81953016132","Рем ком напр подв моста")</f>
        <v>Рем ком напр подв моста</v>
      </c>
      <c r="C3732" s="3" t="s">
        <v>12</v>
      </c>
      <c r="D3732" s="4">
        <v>66127.199999999997</v>
      </c>
      <c r="E3732" s="4">
        <v>12225</v>
      </c>
      <c r="F3732" s="8">
        <v>0.82</v>
      </c>
      <c r="H3732" s="11"/>
      <c r="I3732" s="11"/>
      <c r="J3732" s="11"/>
    </row>
    <row r="3733" spans="1:10" ht="15.75" x14ac:dyDescent="0.3">
      <c r="A3733" s="13" t="str">
        <f>HYPERLINK("https://parts-sales.ru/parts/MAN/81953016275","81.95301-6275")</f>
        <v>81.95301-6275</v>
      </c>
      <c r="B3733" s="13" t="str">
        <f>HYPERLINK("https://parts-sales.ru/parts/MAN/81953016275","Шаровой шарнир Левая резьба")</f>
        <v>Шаровой шарнир Левая резьба</v>
      </c>
      <c r="C3733" s="5" t="s">
        <v>12</v>
      </c>
      <c r="D3733" s="6">
        <v>39661.199999999997</v>
      </c>
      <c r="E3733" s="6">
        <v>9486</v>
      </c>
      <c r="F3733" s="9">
        <v>0.76</v>
      </c>
      <c r="H3733" s="11"/>
      <c r="I3733" s="11"/>
      <c r="J3733" s="11"/>
    </row>
    <row r="3734" spans="1:10" ht="15.75" x14ac:dyDescent="0.3">
      <c r="A3734" s="12" t="str">
        <f>HYPERLINK("https://parts-sales.ru/parts/MAN/81953016286","81.95301-6286")</f>
        <v>81.95301-6286</v>
      </c>
      <c r="B3734" s="12" t="str">
        <f>HYPERLINK("https://parts-sales.ru/parts/MAN/81953016286","Шаровой шарнир Правая резьба")</f>
        <v>Шаровой шарнир Правая резьба</v>
      </c>
      <c r="C3734" s="3" t="s">
        <v>12</v>
      </c>
      <c r="D3734" s="4">
        <v>35412</v>
      </c>
      <c r="E3734" s="4">
        <v>7308</v>
      </c>
      <c r="F3734" s="8">
        <v>0.79</v>
      </c>
      <c r="H3734" s="11"/>
      <c r="I3734" s="11"/>
      <c r="J3734" s="11"/>
    </row>
    <row r="3735" spans="1:10" ht="15.75" x14ac:dyDescent="0.3">
      <c r="A3735" s="13" t="str">
        <f>HYPERLINK("https://parts-sales.ru/parts/MAN/81953016377","81.95301-6377")</f>
        <v>81.95301-6377</v>
      </c>
      <c r="B3735" s="13" t="str">
        <f>HYPERLINK("https://parts-sales.ru/parts/MAN/81953016377","Шаровой шарнир TRW")</f>
        <v>Шаровой шарнир TRW</v>
      </c>
      <c r="C3735" s="5" t="s">
        <v>12</v>
      </c>
      <c r="D3735" s="6">
        <v>32403.599999999999</v>
      </c>
      <c r="E3735" s="6">
        <v>9133</v>
      </c>
      <c r="F3735" s="9">
        <v>0.72</v>
      </c>
      <c r="H3735" s="11"/>
      <c r="I3735" s="11"/>
      <c r="J3735" s="11"/>
    </row>
    <row r="3736" spans="1:10" ht="15.75" x14ac:dyDescent="0.3">
      <c r="A3736" s="12" t="str">
        <f>HYPERLINK("https://parts-sales.ru/parts/MAN/81953016399","81.95301-6399")</f>
        <v>81.95301-6399</v>
      </c>
      <c r="B3736" s="12" t="str">
        <f>HYPERLINK("https://parts-sales.ru/parts/MAN/81953016399","Шаровой шарнир Правая резьба")</f>
        <v>Шаровой шарнир Правая резьба</v>
      </c>
      <c r="C3736" s="3" t="s">
        <v>12</v>
      </c>
      <c r="D3736" s="4">
        <v>74366.399999999994</v>
      </c>
      <c r="E3736" s="4">
        <v>18685</v>
      </c>
      <c r="F3736" s="8">
        <v>0.75</v>
      </c>
      <c r="H3736" s="11"/>
      <c r="I3736" s="11"/>
      <c r="J3736" s="11"/>
    </row>
    <row r="3737" spans="1:10" ht="15.75" x14ac:dyDescent="0.3">
      <c r="A3737" s="13" t="str">
        <f>HYPERLINK("https://parts-sales.ru/parts/MAN/81953020084","81.95302-0084")</f>
        <v>81.95302-0084</v>
      </c>
      <c r="B3737" s="13" t="str">
        <f>HYPERLINK("https://parts-sales.ru/parts/MAN/81953020084","Сферический вкладыш")</f>
        <v>Сферический вкладыш</v>
      </c>
      <c r="C3737" s="5" t="s">
        <v>12</v>
      </c>
      <c r="D3737" s="6">
        <v>2041.2</v>
      </c>
      <c r="E3737" s="6">
        <v>396</v>
      </c>
      <c r="F3737" s="9">
        <v>0.81</v>
      </c>
      <c r="H3737" s="11"/>
      <c r="I3737" s="11"/>
      <c r="J3737" s="11"/>
    </row>
    <row r="3738" spans="1:10" ht="15.75" x14ac:dyDescent="0.3">
      <c r="A3738" s="12" t="str">
        <f>HYPERLINK("https://parts-sales.ru/parts/MAN/81953020091","81.95302-0091")</f>
        <v>81.95302-0091</v>
      </c>
      <c r="B3738" s="12" t="str">
        <f>HYPERLINK("https://parts-sales.ru/parts/MAN/81953020091","Сферический вкладыш")</f>
        <v>Сферический вкладыш</v>
      </c>
      <c r="C3738" s="3" t="s">
        <v>12</v>
      </c>
      <c r="D3738" s="4">
        <v>4215.6000000000004</v>
      </c>
      <c r="E3738" s="4">
        <v>1398</v>
      </c>
      <c r="F3738" s="8">
        <v>0.67</v>
      </c>
      <c r="H3738" s="11"/>
      <c r="I3738" s="11"/>
      <c r="J3738" s="11"/>
    </row>
    <row r="3739" spans="1:10" ht="15.75" x14ac:dyDescent="0.3">
      <c r="A3739" s="13" t="str">
        <f>HYPERLINK("https://parts-sales.ru/parts/MAN/81953126024","81.95312-6024")</f>
        <v>81.95312-6024</v>
      </c>
      <c r="B3739" s="13" t="str">
        <f>HYPERLINK("https://parts-sales.ru/parts/MAN/81953126024","Зажимная скоба B-50-QSTE340TM-LM")</f>
        <v>Зажимная скоба B-50-QSTE340TM-LM</v>
      </c>
      <c r="C3739" s="5" t="s">
        <v>12</v>
      </c>
      <c r="D3739" s="6">
        <v>10022.4</v>
      </c>
      <c r="E3739" s="6">
        <v>3180</v>
      </c>
      <c r="F3739" s="9">
        <v>0.68</v>
      </c>
      <c r="H3739" s="11"/>
      <c r="I3739" s="11"/>
      <c r="J3739" s="11"/>
    </row>
    <row r="3740" spans="1:10" ht="15.75" x14ac:dyDescent="0.3">
      <c r="A3740" s="12" t="str">
        <f>HYPERLINK("https://parts-sales.ru/parts/MAN/81953126025","81.95312-6025")</f>
        <v>81.95312-6025</v>
      </c>
      <c r="B3740" s="12" t="str">
        <f>HYPERLINK("https://parts-sales.ru/parts/MAN/81953126025","Зажимная скоба")</f>
        <v>Зажимная скоба</v>
      </c>
      <c r="C3740" s="3" t="s">
        <v>12</v>
      </c>
      <c r="D3740" s="4">
        <v>11256</v>
      </c>
      <c r="E3740" s="4">
        <v>1981</v>
      </c>
      <c r="F3740" s="8">
        <v>0.82</v>
      </c>
      <c r="H3740" s="11"/>
      <c r="I3740" s="11"/>
      <c r="J3740" s="11"/>
    </row>
    <row r="3741" spans="1:10" ht="15.75" x14ac:dyDescent="0.3">
      <c r="A3741" s="13" t="str">
        <f>HYPERLINK("https://parts-sales.ru/parts/MAN/81953126036","81.95312-6036")</f>
        <v>81.95312-6036</v>
      </c>
      <c r="B3741" s="13" t="str">
        <f>HYPERLINK("https://parts-sales.ru/parts/MAN/81953126036","Зажимная скоба")</f>
        <v>Зажимная скоба</v>
      </c>
      <c r="C3741" s="5" t="s">
        <v>12</v>
      </c>
      <c r="D3741" s="6">
        <v>7276.8</v>
      </c>
      <c r="E3741" s="6">
        <v>1580</v>
      </c>
      <c r="F3741" s="9">
        <v>0.78</v>
      </c>
      <c r="H3741" s="11"/>
      <c r="I3741" s="11"/>
      <c r="J3741" s="11"/>
    </row>
    <row r="3742" spans="1:10" ht="15.75" x14ac:dyDescent="0.3">
      <c r="A3742" s="12" t="str">
        <f>HYPERLINK("https://parts-sales.ru/parts/MAN/81955010243","81.95501-0243")</f>
        <v>81.95501-0243</v>
      </c>
      <c r="B3742" s="12" t="str">
        <f>HYPERLINK("https://parts-sales.ru/parts/MAN/81955010243","Гибкая тяга Приведение в действие двери")</f>
        <v>Гибкая тяга Приведение в действие двери</v>
      </c>
      <c r="C3742" s="3" t="s">
        <v>12</v>
      </c>
      <c r="D3742" s="4">
        <v>3435.6</v>
      </c>
      <c r="E3742" s="4">
        <v>1405</v>
      </c>
      <c r="F3742" s="8">
        <v>0.59</v>
      </c>
      <c r="H3742" s="11"/>
      <c r="I3742" s="11"/>
      <c r="J3742" s="11"/>
    </row>
    <row r="3743" spans="1:10" ht="15.75" x14ac:dyDescent="0.3">
      <c r="A3743" s="13" t="str">
        <f>HYPERLINK("https://parts-sales.ru/parts/MAN/81955016535","81.95501-6535")</f>
        <v>81.95501-6535</v>
      </c>
      <c r="B3743" s="13" t="str">
        <f>HYPERLINK("https://parts-sales.ru/parts/MAN/81955016535","Гибкая тяга")</f>
        <v>Гибкая тяга</v>
      </c>
      <c r="C3743" s="5" t="s">
        <v>12</v>
      </c>
      <c r="D3743" s="6">
        <v>5626.8</v>
      </c>
      <c r="E3743" s="6">
        <v>1058</v>
      </c>
      <c r="F3743" s="9">
        <v>0.81</v>
      </c>
      <c r="H3743" s="11"/>
      <c r="I3743" s="11"/>
      <c r="J3743" s="11"/>
    </row>
    <row r="3744" spans="1:10" ht="15.75" x14ac:dyDescent="0.3">
      <c r="A3744" s="12" t="str">
        <f>HYPERLINK("https://parts-sales.ru/parts/MAN/82953016019","82.95301-6019")</f>
        <v>82.95301-6019</v>
      </c>
      <c r="B3744" s="12" t="str">
        <f>HYPERLINK("https://parts-sales.ru/parts/MAN/82953016019","Шаровой шарнир M30X1,5/M36X1,5")</f>
        <v>Шаровой шарнир M30X1,5/M36X1,5</v>
      </c>
      <c r="C3744" s="3" t="s">
        <v>12</v>
      </c>
      <c r="D3744" s="4">
        <v>45138.95</v>
      </c>
      <c r="E3744" s="4">
        <v>13236</v>
      </c>
      <c r="F3744" s="8">
        <v>0.71</v>
      </c>
      <c r="H3744" s="11"/>
      <c r="I3744" s="11"/>
      <c r="J3744" s="11"/>
    </row>
    <row r="3745" spans="1:10" ht="15.75" x14ac:dyDescent="0.3">
      <c r="A3745" s="13" t="str">
        <f>HYPERLINK("https://parts-sales.ru/parts/MAN/81966010772","81.96601-0772")</f>
        <v>81.96601-0772</v>
      </c>
      <c r="B3745" s="13" t="str">
        <f>HYPERLINK("https://parts-sales.ru/parts/MAN/81966010772","Плоское уплотнение")</f>
        <v>Плоское уплотнение</v>
      </c>
      <c r="C3745" s="5" t="s">
        <v>12</v>
      </c>
      <c r="D3745" s="6">
        <v>1569.6</v>
      </c>
      <c r="E3745" s="6">
        <v>281</v>
      </c>
      <c r="F3745" s="9">
        <v>0.82</v>
      </c>
      <c r="H3745" s="11"/>
      <c r="I3745" s="11"/>
      <c r="J3745" s="11"/>
    </row>
    <row r="3746" spans="1:10" ht="15.75" x14ac:dyDescent="0.3">
      <c r="A3746" s="12" t="str">
        <f>HYPERLINK("https://parts-sales.ru/parts/MAN/81966016002","81.96601-6002")</f>
        <v>81.96601-6002</v>
      </c>
      <c r="B3746" s="12" t="str">
        <f>HYPERLINK("https://parts-sales.ru/parts/MAN/81966016002","Уплотнительный комплект")</f>
        <v>Уплотнительный комплект</v>
      </c>
      <c r="C3746" s="3" t="s">
        <v>12</v>
      </c>
      <c r="D3746" s="4">
        <v>5464.8</v>
      </c>
      <c r="E3746" s="4">
        <v>1250</v>
      </c>
      <c r="F3746" s="8">
        <v>0.77</v>
      </c>
      <c r="H3746" s="11"/>
      <c r="I3746" s="11"/>
      <c r="J3746" s="11"/>
    </row>
    <row r="3747" spans="1:10" ht="15.75" x14ac:dyDescent="0.3">
      <c r="A3747" s="13" t="str">
        <f>HYPERLINK("https://parts-sales.ru/parts/MAN/81968050000","81.96805-0000")</f>
        <v>81.96805-0000</v>
      </c>
      <c r="B3747" s="13" t="str">
        <f>HYPERLINK("https://parts-sales.ru/parts/MAN/81968050000","Петля 420 mm")</f>
        <v>Петля 420 mm</v>
      </c>
      <c r="C3747" s="5" t="s">
        <v>12</v>
      </c>
      <c r="D3747" s="6">
        <v>2178</v>
      </c>
      <c r="E3747" s="6">
        <v>632</v>
      </c>
      <c r="F3747" s="9">
        <v>0.71</v>
      </c>
      <c r="H3747" s="11"/>
      <c r="I3747" s="11"/>
      <c r="J3747" s="11"/>
    </row>
    <row r="3748" spans="1:10" ht="15.75" x14ac:dyDescent="0.3">
      <c r="A3748" s="12" t="str">
        <f>HYPERLINK("https://parts-sales.ru/parts/MAN/81968060005","81.96806-0005")</f>
        <v>81.96806-0005</v>
      </c>
      <c r="B3748" s="12" t="str">
        <f>HYPERLINK("https://parts-sales.ru/parts/MAN/81968060005","Резиновая тяга")</f>
        <v>Резиновая тяга</v>
      </c>
      <c r="C3748" s="3" t="s">
        <v>12</v>
      </c>
      <c r="D3748" s="4">
        <v>1483.2</v>
      </c>
      <c r="E3748" s="4">
        <v>460</v>
      </c>
      <c r="F3748" s="8">
        <v>0.69</v>
      </c>
      <c r="H3748" s="11"/>
      <c r="I3748" s="11"/>
      <c r="J3748" s="11"/>
    </row>
    <row r="3749" spans="1:10" ht="15.75" x14ac:dyDescent="0.3">
      <c r="A3749" s="13" t="str">
        <f>HYPERLINK("https://parts-sales.ru/parts/MAN/81968060010","81.96806-0010")</f>
        <v>81.96806-0010</v>
      </c>
      <c r="B3749" s="13" t="str">
        <f>HYPERLINK("https://parts-sales.ru/parts/MAN/81968060010","Крепежная резина")</f>
        <v>Крепежная резина</v>
      </c>
      <c r="C3749" s="5" t="s">
        <v>12</v>
      </c>
      <c r="D3749" s="6">
        <v>854.4</v>
      </c>
      <c r="E3749" s="6">
        <v>12</v>
      </c>
      <c r="F3749" s="9">
        <v>0.99</v>
      </c>
      <c r="H3749" s="11"/>
      <c r="I3749" s="11"/>
      <c r="J3749" s="11"/>
    </row>
    <row r="3750" spans="1:10" ht="15.75" x14ac:dyDescent="0.3">
      <c r="A3750" s="12" t="str">
        <f>HYPERLINK("https://parts-sales.ru/parts/MAN/85962100021","85.96210-0021")</f>
        <v>85.96210-0021</v>
      </c>
      <c r="B3750" s="12" t="str">
        <f>HYPERLINK("https://parts-sales.ru/parts/MAN/85962100021","Подшипник с качающ.головкой")</f>
        <v>Подшипник с качающ.головкой</v>
      </c>
      <c r="C3750" s="3" t="s">
        <v>12</v>
      </c>
      <c r="D3750" s="4">
        <v>5700</v>
      </c>
      <c r="E3750" s="4">
        <v>1837</v>
      </c>
      <c r="F3750" s="8">
        <v>0.68</v>
      </c>
      <c r="H3750" s="11"/>
      <c r="I3750" s="11"/>
      <c r="J3750" s="11"/>
    </row>
    <row r="3751" spans="1:10" ht="15.75" x14ac:dyDescent="0.3">
      <c r="A3751" s="13" t="str">
        <f>HYPERLINK("https://parts-sales.ru/parts/MAN/88960020068","88.96002-0068")</f>
        <v>88.96002-0068</v>
      </c>
      <c r="B3751" s="13" t="str">
        <f>HYPERLINK("https://parts-sales.ru/parts/MAN/88960020068","Пробка 31,8X10-36-LDPE")</f>
        <v>Пробка 31,8X10-36-LDPE</v>
      </c>
      <c r="C3751" s="5" t="s">
        <v>12</v>
      </c>
      <c r="D3751" s="6">
        <v>178.8</v>
      </c>
      <c r="E3751" s="6">
        <v>49</v>
      </c>
      <c r="F3751" s="9">
        <v>0.73</v>
      </c>
      <c r="H3751" s="11"/>
      <c r="I3751" s="11"/>
      <c r="J3751" s="11"/>
    </row>
    <row r="3752" spans="1:10" ht="15.75" x14ac:dyDescent="0.3">
      <c r="A3752" s="12" t="str">
        <f>HYPERLINK("https://parts-sales.ru/parts/MAN/88961010093","88.96101-0093")</f>
        <v>88.96101-0093</v>
      </c>
      <c r="B3752" s="12" t="str">
        <f>HYPERLINK("https://parts-sales.ru/parts/MAN/88961010093","Распорка 4X4X20")</f>
        <v>Распорка 4X4X20</v>
      </c>
      <c r="C3752" s="3" t="s">
        <v>12</v>
      </c>
      <c r="D3752" s="4">
        <v>344.4</v>
      </c>
      <c r="E3752" s="4">
        <v>83</v>
      </c>
      <c r="F3752" s="8">
        <v>0.76</v>
      </c>
      <c r="H3752" s="11"/>
      <c r="I3752" s="11"/>
      <c r="J3752" s="11"/>
    </row>
    <row r="3753" spans="1:10" ht="15.75" x14ac:dyDescent="0.3">
      <c r="A3753" s="13" t="str">
        <f>HYPERLINK("https://parts-sales.ru/parts/MAN/88966010065","88.96601-0065")</f>
        <v>88.96601-0065</v>
      </c>
      <c r="B3753" s="13" t="str">
        <f>HYPERLINK("https://parts-sales.ru/parts/MAN/88966010065","Уплотнение")</f>
        <v>Уплотнение</v>
      </c>
      <c r="C3753" s="5" t="s">
        <v>12</v>
      </c>
      <c r="D3753" s="6">
        <v>6187.2</v>
      </c>
      <c r="E3753" s="6">
        <v>644</v>
      </c>
      <c r="F3753" s="9">
        <v>0.9</v>
      </c>
      <c r="H3753" s="11"/>
      <c r="I3753" s="11"/>
      <c r="J3753" s="11"/>
    </row>
    <row r="3754" spans="1:10" ht="15.75" x14ac:dyDescent="0.3">
      <c r="A3754" s="12" t="str">
        <f>HYPERLINK("https://parts-sales.ru/parts/MAN/34974700007","34.97470-0007")</f>
        <v>34.97470-0007</v>
      </c>
      <c r="B3754" s="12" t="str">
        <f>HYPERLINK("https://parts-sales.ru/parts/MAN/34974700007","Крепежный цоколь 28X28/4,7-PA6,6")</f>
        <v>Крепежный цоколь 28X28/4,7-PA6,6</v>
      </c>
      <c r="C3754" s="3" t="s">
        <v>12</v>
      </c>
      <c r="D3754" s="4">
        <v>324</v>
      </c>
      <c r="E3754" s="4">
        <v>62</v>
      </c>
      <c r="F3754" s="8">
        <v>0.81</v>
      </c>
      <c r="H3754" s="11"/>
      <c r="I3754" s="11"/>
      <c r="J3754" s="11"/>
    </row>
    <row r="3755" spans="1:10" ht="15.75" x14ac:dyDescent="0.3">
      <c r="A3755" s="13" t="str">
        <f>HYPERLINK("https://parts-sales.ru/parts/MAN/34978010009","34.97801-0009")</f>
        <v>34.97801-0009</v>
      </c>
      <c r="B3755" s="13" t="str">
        <f>HYPERLINK("https://parts-sales.ru/parts/MAN/34978010009","Указательная табличка 80X80/KST-SK-GN/WS")</f>
        <v>Указательная табличка 80X80/KST-SK-GN/WS</v>
      </c>
      <c r="C3755" s="5" t="s">
        <v>12</v>
      </c>
      <c r="D3755" s="6">
        <v>2197.1999999999998</v>
      </c>
      <c r="E3755" s="6">
        <v>530</v>
      </c>
      <c r="F3755" s="9">
        <v>0.76</v>
      </c>
      <c r="H3755" s="11"/>
      <c r="I3755" s="11"/>
      <c r="J3755" s="11"/>
    </row>
    <row r="3756" spans="1:10" ht="15.75" x14ac:dyDescent="0.3">
      <c r="A3756" s="12" t="str">
        <f>HYPERLINK("https://parts-sales.ru/parts/MAN/65978700004","65.97870-0004")</f>
        <v>65.97870-0004</v>
      </c>
      <c r="B3756" s="12" t="str">
        <f>HYPERLINK("https://parts-sales.ru/parts/MAN/65978700004","Эмблема Нижняя часть")</f>
        <v>Эмблема Нижняя часть</v>
      </c>
      <c r="C3756" s="3" t="s">
        <v>12</v>
      </c>
      <c r="D3756" s="4">
        <v>1968</v>
      </c>
      <c r="E3756" s="4">
        <v>546</v>
      </c>
      <c r="F3756" s="8">
        <v>0.72</v>
      </c>
      <c r="H3756" s="11"/>
      <c r="I3756" s="11"/>
      <c r="J3756" s="11"/>
    </row>
    <row r="3757" spans="1:10" ht="15.75" x14ac:dyDescent="0.3">
      <c r="A3757" s="13" t="str">
        <f>HYPERLINK("https://parts-sales.ru/parts/MAN/65978700005","65.97870-0005")</f>
        <v>65.97870-0005</v>
      </c>
      <c r="B3757" s="13" t="str">
        <f>HYPERLINK("https://parts-sales.ru/parts/MAN/65978700005","Эмблема Верхняя часть")</f>
        <v>Эмблема Верхняя часть</v>
      </c>
      <c r="C3757" s="5" t="s">
        <v>12</v>
      </c>
      <c r="D3757" s="6">
        <v>2406</v>
      </c>
      <c r="E3757" s="6">
        <v>668</v>
      </c>
      <c r="F3757" s="9">
        <v>0.72</v>
      </c>
      <c r="H3757" s="11"/>
      <c r="I3757" s="11"/>
      <c r="J3757" s="11"/>
    </row>
    <row r="3758" spans="1:10" ht="15.75" x14ac:dyDescent="0.3">
      <c r="A3758" s="12" t="str">
        <f>HYPERLINK("https://parts-sales.ru/parts/MAN/65978700013","65.97870-0013")</f>
        <v>65.97870-0013</v>
      </c>
      <c r="B3758" s="12" t="str">
        <f>HYPERLINK("https://parts-sales.ru/parts/MAN/65978700013","Эмблема Нижняя часть")</f>
        <v>Эмблема Нижняя часть</v>
      </c>
      <c r="C3758" s="3" t="s">
        <v>12</v>
      </c>
      <c r="D3758" s="4">
        <v>4149.6000000000004</v>
      </c>
      <c r="E3758" s="4">
        <v>721</v>
      </c>
      <c r="F3758" s="8">
        <v>0.83</v>
      </c>
      <c r="H3758" s="11"/>
      <c r="I3758" s="11"/>
      <c r="J3758" s="11"/>
    </row>
    <row r="3759" spans="1:10" ht="15.75" x14ac:dyDescent="0.3">
      <c r="A3759" s="13" t="str">
        <f>HYPERLINK("https://parts-sales.ru/parts/MAN/65978700014","65.97870-0014")</f>
        <v>65.97870-0014</v>
      </c>
      <c r="B3759" s="13" t="str">
        <f>HYPERLINK("https://parts-sales.ru/parts/MAN/65978700014","Эмблема Верхняя часть")</f>
        <v>Эмблема Верхняя часть</v>
      </c>
      <c r="C3759" s="5" t="s">
        <v>12</v>
      </c>
      <c r="D3759" s="6">
        <v>4519.2</v>
      </c>
      <c r="E3759" s="6">
        <v>792</v>
      </c>
      <c r="F3759" s="9">
        <v>0.82</v>
      </c>
      <c r="H3759" s="11"/>
      <c r="I3759" s="11"/>
      <c r="J3759" s="11"/>
    </row>
    <row r="3760" spans="1:10" ht="15.75" x14ac:dyDescent="0.3">
      <c r="A3760" s="12" t="str">
        <f>HYPERLINK("https://parts-sales.ru/parts/MAN/65978706001","65.97870-6001")</f>
        <v>65.97870-6001</v>
      </c>
      <c r="B3760" s="12" t="str">
        <f>HYPERLINK("https://parts-sales.ru/parts/MAN/65978706001","Росчерк MAN")</f>
        <v>Росчерк MAN</v>
      </c>
      <c r="C3760" s="3" t="s">
        <v>12</v>
      </c>
      <c r="D3760" s="4">
        <v>4519.2</v>
      </c>
      <c r="E3760" s="4">
        <v>792</v>
      </c>
      <c r="F3760" s="8">
        <v>0.82</v>
      </c>
      <c r="H3760" s="11"/>
      <c r="I3760" s="11"/>
      <c r="J3760" s="11"/>
    </row>
    <row r="3761" spans="1:10" ht="15.75" x14ac:dyDescent="0.3">
      <c r="A3761" s="13" t="str">
        <f>HYPERLINK("https://parts-sales.ru/parts/MAN/81971030018","81.97103-0018")</f>
        <v>81.97103-0018</v>
      </c>
      <c r="B3761" s="13" t="str">
        <f>HYPERLINK("https://parts-sales.ru/parts/MAN/81971030018","Скоба")</f>
        <v>Скоба</v>
      </c>
      <c r="C3761" s="5" t="s">
        <v>12</v>
      </c>
      <c r="D3761" s="6">
        <v>171.6</v>
      </c>
      <c r="E3761" s="6">
        <v>11</v>
      </c>
      <c r="F3761" s="9">
        <v>0.94</v>
      </c>
      <c r="H3761" s="11"/>
      <c r="I3761" s="11"/>
      <c r="J3761" s="11"/>
    </row>
    <row r="3762" spans="1:10" ht="15.75" x14ac:dyDescent="0.3">
      <c r="A3762" s="12" t="str">
        <f>HYPERLINK("https://parts-sales.ru/parts/MAN/81971030026","81.97103-0026")</f>
        <v>81.97103-0026</v>
      </c>
      <c r="B3762" s="12" t="str">
        <f>HYPERLINK("https://parts-sales.ru/parts/MAN/81971030026","Крепежный пружинный зажим")</f>
        <v>Крепежный пружинный зажим</v>
      </c>
      <c r="C3762" s="3" t="s">
        <v>12</v>
      </c>
      <c r="D3762" s="4">
        <v>294</v>
      </c>
      <c r="E3762" s="4">
        <v>60</v>
      </c>
      <c r="F3762" s="8">
        <v>0.8</v>
      </c>
      <c r="H3762" s="11"/>
      <c r="I3762" s="11"/>
      <c r="J3762" s="11"/>
    </row>
    <row r="3763" spans="1:10" ht="15.75" x14ac:dyDescent="0.3">
      <c r="A3763" s="13" t="str">
        <f>HYPERLINK("https://parts-sales.ru/parts/MAN/81971030028","81.97103-0028")</f>
        <v>81.97103-0028</v>
      </c>
      <c r="B3763" s="13" t="str">
        <f>HYPERLINK("https://parts-sales.ru/parts/MAN/81971030028","Скоба")</f>
        <v>Скоба</v>
      </c>
      <c r="C3763" s="5" t="s">
        <v>12</v>
      </c>
      <c r="D3763" s="6">
        <v>229.2</v>
      </c>
      <c r="E3763" s="6">
        <v>45</v>
      </c>
      <c r="F3763" s="9">
        <v>0.8</v>
      </c>
      <c r="H3763" s="11"/>
      <c r="I3763" s="11"/>
      <c r="J3763" s="11"/>
    </row>
    <row r="3764" spans="1:10" ht="15.75" x14ac:dyDescent="0.3">
      <c r="A3764" s="12" t="str">
        <f>HYPERLINK("https://parts-sales.ru/parts/MAN/81971120031","81.97112-0031")</f>
        <v>81.97112-0031</v>
      </c>
      <c r="B3764" s="12" t="str">
        <f>HYPERLINK("https://parts-sales.ru/parts/MAN/81971120031","Сферический болт SNAPLOCK KD8")</f>
        <v>Сферический болт SNAPLOCK KD8</v>
      </c>
      <c r="C3764" s="3" t="s">
        <v>12</v>
      </c>
      <c r="D3764" s="4">
        <v>854.4</v>
      </c>
      <c r="E3764" s="4">
        <v>213</v>
      </c>
      <c r="F3764" s="8">
        <v>0.75</v>
      </c>
      <c r="H3764" s="11"/>
      <c r="I3764" s="11"/>
      <c r="J3764" s="11"/>
    </row>
    <row r="3765" spans="1:10" ht="15.75" x14ac:dyDescent="0.3">
      <c r="A3765" s="13" t="str">
        <f>HYPERLINK("https://parts-sales.ru/parts/MAN/81971180126","81.97118-0126")</f>
        <v>81.97118-0126</v>
      </c>
      <c r="B3765" s="13" t="str">
        <f>HYPERLINK("https://parts-sales.ru/parts/MAN/81971180126","Заготовка для ключа")</f>
        <v>Заготовка для ключа</v>
      </c>
      <c r="C3765" s="5" t="s">
        <v>12</v>
      </c>
      <c r="D3765" s="6">
        <v>5712</v>
      </c>
      <c r="E3765" s="6">
        <v>1115</v>
      </c>
      <c r="F3765" s="9">
        <v>0.8</v>
      </c>
      <c r="H3765" s="11"/>
      <c r="I3765" s="11"/>
      <c r="J3765" s="11"/>
    </row>
    <row r="3766" spans="1:10" ht="15.75" x14ac:dyDescent="0.3">
      <c r="A3766" s="12" t="str">
        <f>HYPERLINK("https://parts-sales.ru/parts/MAN/81971186003","81.97118-6003")</f>
        <v>81.97118-6003</v>
      </c>
      <c r="B3766" s="12" t="str">
        <f>HYPERLINK("https://parts-sales.ru/parts/MAN/81971186003","Заготовка для ключа маn-эмблема")</f>
        <v>Заготовка для ключа маn-эмблема</v>
      </c>
      <c r="C3766" s="3" t="s">
        <v>12</v>
      </c>
      <c r="D3766" s="4">
        <v>2660.4</v>
      </c>
      <c r="E3766" s="4">
        <v>627</v>
      </c>
      <c r="F3766" s="8">
        <v>0.76</v>
      </c>
      <c r="H3766" s="11"/>
      <c r="I3766" s="11"/>
      <c r="J3766" s="11"/>
    </row>
    <row r="3767" spans="1:10" ht="15.75" x14ac:dyDescent="0.3">
      <c r="A3767" s="13" t="str">
        <f>HYPERLINK("https://parts-sales.ru/parts/MAN/81971220039","81.97122-0039")</f>
        <v>81.97122-0039</v>
      </c>
      <c r="B3767" s="13" t="str">
        <f>HYPERLINK("https://parts-sales.ru/parts/MAN/81971220039","Быстродействующий запор")</f>
        <v>Быстродействующий запор</v>
      </c>
      <c r="C3767" s="5" t="s">
        <v>12</v>
      </c>
      <c r="D3767" s="6">
        <v>543.6</v>
      </c>
      <c r="E3767" s="6">
        <v>13</v>
      </c>
      <c r="F3767" s="9">
        <v>0.98</v>
      </c>
      <c r="H3767" s="11"/>
      <c r="I3767" s="11"/>
      <c r="J3767" s="11"/>
    </row>
    <row r="3768" spans="1:10" ht="15.75" x14ac:dyDescent="0.3">
      <c r="A3768" s="12" t="str">
        <f>HYPERLINK("https://parts-sales.ru/parts/MAN/81971220048","81.97122-0048")</f>
        <v>81.97122-0048</v>
      </c>
      <c r="B3768" s="12" t="str">
        <f>HYPERLINK("https://parts-sales.ru/parts/MAN/81971220048","Быстродействующий запор")</f>
        <v>Быстродействующий запор</v>
      </c>
      <c r="C3768" s="3" t="s">
        <v>12</v>
      </c>
      <c r="D3768" s="4">
        <v>400.8</v>
      </c>
      <c r="E3768" s="4">
        <v>28</v>
      </c>
      <c r="F3768" s="8">
        <v>0.93</v>
      </c>
      <c r="H3768" s="11"/>
      <c r="I3768" s="11"/>
      <c r="J3768" s="11"/>
    </row>
    <row r="3769" spans="1:10" ht="15.75" x14ac:dyDescent="0.3">
      <c r="A3769" s="13" t="str">
        <f>HYPERLINK("https://parts-sales.ru/parts/MAN/81971220052","81.97122-0052")</f>
        <v>81.97122-0052</v>
      </c>
      <c r="B3769" s="13" t="str">
        <f>HYPERLINK("https://parts-sales.ru/parts/MAN/81971220052","Быстродействующий запор")</f>
        <v>Быстродействующий запор</v>
      </c>
      <c r="C3769" s="5" t="s">
        <v>12</v>
      </c>
      <c r="D3769" s="6">
        <v>675.6</v>
      </c>
      <c r="E3769" s="6">
        <v>71</v>
      </c>
      <c r="F3769" s="9">
        <v>0.89</v>
      </c>
      <c r="H3769" s="11"/>
      <c r="I3769" s="11"/>
      <c r="J3769" s="11"/>
    </row>
    <row r="3770" spans="1:10" ht="15.75" x14ac:dyDescent="0.3">
      <c r="A3770" s="12" t="str">
        <f>HYPERLINK("https://parts-sales.ru/parts/MAN/81974010580","81.97401-0580")</f>
        <v>81.97401-0580</v>
      </c>
      <c r="B3770" s="12" t="str">
        <f>HYPERLINK("https://parts-sales.ru/parts/MAN/81974010580","Бандаж пучка кабелей 2,45X100/2,6X102-PA")</f>
        <v>Бандаж пучка кабелей 2,45X100/2,6X102-PA</v>
      </c>
      <c r="C3770" s="3" t="s">
        <v>12</v>
      </c>
      <c r="D3770" s="4">
        <v>2.4</v>
      </c>
      <c r="E3770" s="4">
        <v>1</v>
      </c>
      <c r="F3770" s="8">
        <v>0.57999999999999996</v>
      </c>
      <c r="H3770" s="11"/>
      <c r="I3770" s="11"/>
      <c r="J3770" s="11"/>
    </row>
    <row r="3771" spans="1:10" ht="15.75" x14ac:dyDescent="0.3">
      <c r="A3771" s="13" t="str">
        <f>HYPERLINK("https://parts-sales.ru/parts/MAN/81974010581","81.97401-0581")</f>
        <v>81.97401-0581</v>
      </c>
      <c r="B3771" s="13" t="str">
        <f>HYPERLINK("https://parts-sales.ru/parts/MAN/81974010581","Бандаж пучка кабелей 2,5X202-PA6.6-SW")</f>
        <v>Бандаж пучка кабелей 2,5X202-PA6.6-SW</v>
      </c>
      <c r="C3771" s="5" t="s">
        <v>12</v>
      </c>
      <c r="D3771" s="6">
        <v>17.36</v>
      </c>
      <c r="E3771" s="6">
        <v>4</v>
      </c>
      <c r="F3771" s="9">
        <v>0.77</v>
      </c>
      <c r="H3771" s="11"/>
      <c r="I3771" s="11"/>
      <c r="J3771" s="11"/>
    </row>
    <row r="3772" spans="1:10" ht="15.75" x14ac:dyDescent="0.3">
      <c r="A3772" s="12" t="str">
        <f>HYPERLINK("https://parts-sales.ru/parts/MAN/81974010746","81.97401-0746")</f>
        <v>81.97401-0746</v>
      </c>
      <c r="B3772" s="12" t="str">
        <f>HYPERLINK("https://parts-sales.ru/parts/MAN/81974010746","Бандаж пучка кабелей 3,6X148-PA6.6-SW")</f>
        <v>Бандаж пучка кабелей 3,6X148-PA6.6-SW</v>
      </c>
      <c r="C3772" s="3" t="s">
        <v>12</v>
      </c>
      <c r="D3772" s="4">
        <v>6</v>
      </c>
      <c r="E3772" s="4">
        <v>1</v>
      </c>
      <c r="F3772" s="8">
        <v>0.83</v>
      </c>
      <c r="H3772" s="11"/>
      <c r="I3772" s="11"/>
      <c r="J3772" s="11"/>
    </row>
    <row r="3773" spans="1:10" ht="15.75" x14ac:dyDescent="0.3">
      <c r="A3773" s="13" t="str">
        <f>HYPERLINK("https://parts-sales.ru/parts/MAN/81974010764","81.97401-0764")</f>
        <v>81.97401-0764</v>
      </c>
      <c r="B3773" s="13" t="str">
        <f>HYPERLINK("https://parts-sales.ru/parts/MAN/81974010764","Бандаж пучка кабелей 7,6X760-PA6.6-SW")</f>
        <v>Бандаж пучка кабелей 7,6X760-PA6.6-SW</v>
      </c>
      <c r="C3773" s="5" t="s">
        <v>12</v>
      </c>
      <c r="D3773" s="6">
        <v>107.36</v>
      </c>
      <c r="E3773" s="6">
        <v>43</v>
      </c>
      <c r="F3773" s="9">
        <v>0.6</v>
      </c>
      <c r="H3773" s="11"/>
      <c r="I3773" s="11"/>
      <c r="J3773" s="11"/>
    </row>
    <row r="3774" spans="1:10" ht="15.75" x14ac:dyDescent="0.3">
      <c r="A3774" s="12" t="str">
        <f>HYPERLINK("https://parts-sales.ru/parts/MAN/81974010791","81.97401-0791")</f>
        <v>81.97401-0791</v>
      </c>
      <c r="B3774" s="12" t="str">
        <f>HYPERLINK("https://parts-sales.ru/parts/MAN/81974010791","Крепление проводов 12-14X14X2-4")</f>
        <v>Крепление проводов 12-14X14X2-4</v>
      </c>
      <c r="C3774" s="3" t="s">
        <v>12</v>
      </c>
      <c r="D3774" s="4">
        <v>62.4</v>
      </c>
      <c r="E3774" s="4">
        <v>4</v>
      </c>
      <c r="F3774" s="8">
        <v>0.94</v>
      </c>
      <c r="H3774" s="11"/>
      <c r="I3774" s="11"/>
      <c r="J3774" s="11"/>
    </row>
    <row r="3775" spans="1:10" ht="15.75" x14ac:dyDescent="0.3">
      <c r="A3775" s="13" t="str">
        <f>HYPERLINK("https://parts-sales.ru/parts/MAN/81974015033","81.97401-5033")</f>
        <v>81.97401-5033</v>
      </c>
      <c r="B3775" s="13" t="str">
        <f>HYPERLINK("https://parts-sales.ru/parts/MAN/81974015033","Скоба для крепления труб 100,5X30-S235JR")</f>
        <v>Скоба для крепления труб 100,5X30-S235JR</v>
      </c>
      <c r="C3775" s="5" t="s">
        <v>12</v>
      </c>
      <c r="D3775" s="6">
        <v>3243.6</v>
      </c>
      <c r="E3775" s="6">
        <v>752</v>
      </c>
      <c r="F3775" s="9">
        <v>0.77</v>
      </c>
      <c r="H3775" s="11"/>
      <c r="I3775" s="11"/>
      <c r="J3775" s="11"/>
    </row>
    <row r="3776" spans="1:10" ht="15.75" x14ac:dyDescent="0.3">
      <c r="A3776" s="12" t="str">
        <f>HYPERLINK("https://parts-sales.ru/parts/MAN/81974015036","81.97401-5036")</f>
        <v>81.97401-5036</v>
      </c>
      <c r="B3776" s="12" t="str">
        <f>HYPERLINK("https://parts-sales.ru/parts/MAN/81974015036","Зажим")</f>
        <v>Зажим</v>
      </c>
      <c r="C3776" s="3" t="s">
        <v>12</v>
      </c>
      <c r="D3776" s="4">
        <v>906</v>
      </c>
      <c r="E3776" s="4">
        <v>319</v>
      </c>
      <c r="F3776" s="8">
        <v>0.65</v>
      </c>
      <c r="H3776" s="11"/>
      <c r="I3776" s="11"/>
      <c r="J3776" s="11"/>
    </row>
    <row r="3777" spans="1:10" ht="15.75" x14ac:dyDescent="0.3">
      <c r="A3777" s="13" t="str">
        <f>HYPERLINK("https://parts-sales.ru/parts/MAN/81974200114","81.97420-0114")</f>
        <v>81.97420-0114</v>
      </c>
      <c r="B3777" s="13" t="str">
        <f>HYPERLINK("https://parts-sales.ru/parts/MAN/81974200114","Крепежный зажим A1-33X15-W1-2")</f>
        <v>Крепежный зажим A1-33X15-W1-2</v>
      </c>
      <c r="C3777" s="5" t="s">
        <v>12</v>
      </c>
      <c r="D3777" s="6">
        <v>1341.6</v>
      </c>
      <c r="E3777" s="6">
        <v>289</v>
      </c>
      <c r="F3777" s="9">
        <v>0.78</v>
      </c>
      <c r="H3777" s="11"/>
      <c r="I3777" s="11"/>
      <c r="J3777" s="11"/>
    </row>
    <row r="3778" spans="1:10" ht="15.75" x14ac:dyDescent="0.3">
      <c r="A3778" s="12" t="str">
        <f>HYPERLINK("https://parts-sales.ru/parts/MAN/81974200139","81.97420-0139")</f>
        <v>81.97420-0139</v>
      </c>
      <c r="B3778" s="12" t="str">
        <f>HYPERLINK("https://parts-sales.ru/parts/MAN/81974200139","Скоба для крепления труб A113X30X104-17-")</f>
        <v>Скоба для крепления труб A113X30X104-17-</v>
      </c>
      <c r="C3778" s="3" t="s">
        <v>12</v>
      </c>
      <c r="D3778" s="4">
        <v>4441.2</v>
      </c>
      <c r="E3778" s="4">
        <v>903</v>
      </c>
      <c r="F3778" s="8">
        <v>0.8</v>
      </c>
      <c r="H3778" s="11"/>
      <c r="I3778" s="11"/>
      <c r="J3778" s="11"/>
    </row>
    <row r="3779" spans="1:10" ht="15.75" x14ac:dyDescent="0.3">
      <c r="A3779" s="13" t="str">
        <f>HYPERLINK("https://parts-sales.ru/parts/MAN/81974200167","81.97420-0167")</f>
        <v>81.97420-0167</v>
      </c>
      <c r="B3779" s="13" t="str">
        <f>HYPERLINK("https://parts-sales.ru/parts/MAN/81974200167","Скоба для крепления труб A114X30X94-13-X")</f>
        <v>Скоба для крепления труб A114X30X94-13-X</v>
      </c>
      <c r="C3779" s="5" t="s">
        <v>12</v>
      </c>
      <c r="D3779" s="6">
        <v>4401.6000000000004</v>
      </c>
      <c r="E3779" s="6">
        <v>1811</v>
      </c>
      <c r="F3779" s="9">
        <v>0.59</v>
      </c>
      <c r="H3779" s="11"/>
      <c r="I3779" s="11"/>
      <c r="J3779" s="11"/>
    </row>
    <row r="3780" spans="1:10" ht="15.75" x14ac:dyDescent="0.3">
      <c r="A3780" s="12" t="str">
        <f>HYPERLINK("https://parts-sales.ru/parts/MAN/81974200169","81.97420-0169")</f>
        <v>81.97420-0169</v>
      </c>
      <c r="B3780" s="12" t="str">
        <f>HYPERLINK("https://parts-sales.ru/parts/MAN/81974200169","Скоба для крепления труб A124X30X99-13-X")</f>
        <v>Скоба для крепления труб A124X30X99-13-X</v>
      </c>
      <c r="C3780" s="3" t="s">
        <v>12</v>
      </c>
      <c r="D3780" s="4">
        <v>4446</v>
      </c>
      <c r="E3780" s="4">
        <v>775</v>
      </c>
      <c r="F3780" s="8">
        <v>0.83</v>
      </c>
      <c r="H3780" s="11"/>
      <c r="I3780" s="11"/>
      <c r="J3780" s="11"/>
    </row>
    <row r="3781" spans="1:10" ht="15.75" x14ac:dyDescent="0.3">
      <c r="A3781" s="13" t="str">
        <f>HYPERLINK("https://parts-sales.ru/parts/MAN/81974200181","81.97420-0181")</f>
        <v>81.97420-0181</v>
      </c>
      <c r="B3781" s="13" t="str">
        <f>HYPERLINK("https://parts-sales.ru/parts/MAN/81974200181","Скоба для крепления труб")</f>
        <v>Скоба для крепления труб</v>
      </c>
      <c r="C3781" s="5" t="s">
        <v>12</v>
      </c>
      <c r="D3781" s="6">
        <v>4597.2</v>
      </c>
      <c r="E3781" s="6">
        <v>911</v>
      </c>
      <c r="F3781" s="9">
        <v>0.8</v>
      </c>
      <c r="H3781" s="11"/>
      <c r="I3781" s="11"/>
      <c r="J3781" s="11"/>
    </row>
    <row r="3782" spans="1:10" ht="15.75" x14ac:dyDescent="0.3">
      <c r="A3782" s="12" t="str">
        <f>HYPERLINK("https://parts-sales.ru/parts/MAN/81974200184","81.97420-0184")</f>
        <v>81.97420-0184</v>
      </c>
      <c r="B3782" s="12" t="str">
        <f>HYPERLINK("https://parts-sales.ru/parts/MAN/81974200184","Профильная скоба 378X25-1.4301")</f>
        <v>Профильная скоба 378X25-1.4301</v>
      </c>
      <c r="C3782" s="3" t="s">
        <v>12</v>
      </c>
      <c r="D3782" s="4">
        <v>12142.8</v>
      </c>
      <c r="E3782" s="4">
        <v>2846</v>
      </c>
      <c r="F3782" s="8">
        <v>0.77</v>
      </c>
      <c r="H3782" s="11"/>
      <c r="I3782" s="11"/>
      <c r="J3782" s="11"/>
    </row>
    <row r="3783" spans="1:10" ht="15.75" x14ac:dyDescent="0.3">
      <c r="A3783" s="13" t="str">
        <f>HYPERLINK("https://parts-sales.ru/parts/MAN/81974200186","81.97420-0186")</f>
        <v>81.97420-0186</v>
      </c>
      <c r="B3783" s="13" t="str">
        <f>HYPERLINK("https://parts-sales.ru/parts/MAN/81974200186","Скоба для крепления труб")</f>
        <v>Скоба для крепления труб</v>
      </c>
      <c r="C3783" s="5" t="s">
        <v>12</v>
      </c>
      <c r="D3783" s="6">
        <v>4310.3999999999996</v>
      </c>
      <c r="E3783" s="6">
        <v>129</v>
      </c>
      <c r="F3783" s="9">
        <v>0.97</v>
      </c>
      <c r="H3783" s="11"/>
      <c r="I3783" s="11"/>
      <c r="J3783" s="11"/>
    </row>
    <row r="3784" spans="1:10" ht="15.75" x14ac:dyDescent="0.3">
      <c r="A3784" s="12" t="str">
        <f>HYPERLINK("https://parts-sales.ru/parts/MAN/81974300032","81.97430-0032")</f>
        <v>81.97430-0032</v>
      </c>
      <c r="B3784" s="12" t="str">
        <f>HYPERLINK("https://parts-sales.ru/parts/MAN/81974300032","Скоба")</f>
        <v>Скоба</v>
      </c>
      <c r="C3784" s="3" t="s">
        <v>12</v>
      </c>
      <c r="D3784" s="4">
        <v>435.6</v>
      </c>
      <c r="E3784" s="4">
        <v>11</v>
      </c>
      <c r="F3784" s="8">
        <v>0.97</v>
      </c>
      <c r="H3784" s="11"/>
      <c r="I3784" s="11"/>
      <c r="J3784" s="11"/>
    </row>
    <row r="3785" spans="1:10" ht="15.75" x14ac:dyDescent="0.3">
      <c r="A3785" s="13" t="str">
        <f>HYPERLINK("https://parts-sales.ru/parts/MAN/81974300071","81.97430-0071")</f>
        <v>81.97430-0071</v>
      </c>
      <c r="B3785" s="13" t="str">
        <f>HYPERLINK("https://parts-sales.ru/parts/MAN/81974300071","Крепление проводов 6X13X0,7-1,5")</f>
        <v>Крепление проводов 6X13X0,7-1,5</v>
      </c>
      <c r="C3785" s="5" t="s">
        <v>12</v>
      </c>
      <c r="D3785" s="6">
        <v>57.6</v>
      </c>
      <c r="E3785" s="6">
        <v>3</v>
      </c>
      <c r="F3785" s="9">
        <v>0.95</v>
      </c>
      <c r="H3785" s="11"/>
      <c r="I3785" s="11"/>
      <c r="J3785" s="11"/>
    </row>
    <row r="3786" spans="1:10" ht="15.75" x14ac:dyDescent="0.3">
      <c r="A3786" s="12" t="str">
        <f>HYPERLINK("https://parts-sales.ru/parts/MAN/81974300085","81.97430-0085")</f>
        <v>81.97430-0085</v>
      </c>
      <c r="B3786" s="12" t="str">
        <f>HYPERLINK("https://parts-sales.ru/parts/MAN/81974300085","Крепление проводов")</f>
        <v>Крепление проводов</v>
      </c>
      <c r="C3786" s="3" t="s">
        <v>12</v>
      </c>
      <c r="D3786" s="4">
        <v>513.6</v>
      </c>
      <c r="E3786" s="4">
        <v>42</v>
      </c>
      <c r="F3786" s="8">
        <v>0.92</v>
      </c>
      <c r="H3786" s="11"/>
      <c r="I3786" s="11"/>
      <c r="J3786" s="11"/>
    </row>
    <row r="3787" spans="1:10" ht="15.75" x14ac:dyDescent="0.3">
      <c r="A3787" s="13" t="str">
        <f>HYPERLINK("https://parts-sales.ru/parts/MAN/81974400142","81.97440-0142")</f>
        <v>81.97440-0142</v>
      </c>
      <c r="B3787" s="13" t="str">
        <f>HYPERLINK("https://parts-sales.ru/parts/MAN/81974400142","Хомутик для шланга B-10X9-W1-2")</f>
        <v>Хомутик для шланга B-10X9-W1-2</v>
      </c>
      <c r="C3787" s="5" t="s">
        <v>12</v>
      </c>
      <c r="D3787" s="6">
        <v>225.79</v>
      </c>
      <c r="E3787" s="6">
        <v>39</v>
      </c>
      <c r="F3787" s="9">
        <v>0.83</v>
      </c>
      <c r="H3787" s="11"/>
      <c r="I3787" s="11"/>
      <c r="J3787" s="11"/>
    </row>
    <row r="3788" spans="1:10" ht="15.75" x14ac:dyDescent="0.3">
      <c r="A3788" s="12" t="str">
        <f>HYPERLINK("https://parts-sales.ru/parts/MAN/81974400229","81.97440-0229")</f>
        <v>81.97440-0229</v>
      </c>
      <c r="B3788" s="12" t="str">
        <f>HYPERLINK("https://parts-sales.ru/parts/MAN/81974400229","Хомутик для шланга 28,0-29,0X8,0-A2-GE")</f>
        <v>Хомутик для шланга 28,0-29,0X8,0-A2-GE</v>
      </c>
      <c r="C3788" s="3" t="s">
        <v>12</v>
      </c>
      <c r="D3788" s="4">
        <v>298.8</v>
      </c>
      <c r="E3788" s="4">
        <v>55</v>
      </c>
      <c r="F3788" s="8">
        <v>0.82</v>
      </c>
      <c r="H3788" s="11"/>
      <c r="I3788" s="11"/>
      <c r="J3788" s="11"/>
    </row>
    <row r="3789" spans="1:10" ht="15.75" x14ac:dyDescent="0.3">
      <c r="A3789" s="13" t="str">
        <f>HYPERLINK("https://parts-sales.ru/parts/MAN/81974400248","81.97440-0248")</f>
        <v>81.97440-0248</v>
      </c>
      <c r="B3789" s="13" t="str">
        <f>HYPERLINK("https://parts-sales.ru/parts/MAN/81974400248","Хомутик для шланга 8,8-10,5X5,5X0,5-1.43")</f>
        <v>Хомутик для шланга 8,8-10,5X5,5X0,5-1.43</v>
      </c>
      <c r="C3789" s="5" t="s">
        <v>12</v>
      </c>
      <c r="D3789" s="6">
        <v>258</v>
      </c>
      <c r="E3789" s="6">
        <v>14</v>
      </c>
      <c r="F3789" s="9">
        <v>0.95</v>
      </c>
      <c r="H3789" s="11"/>
      <c r="I3789" s="11"/>
      <c r="J3789" s="11"/>
    </row>
    <row r="3790" spans="1:10" ht="15.75" x14ac:dyDescent="0.3">
      <c r="A3790" s="12" t="str">
        <f>HYPERLINK("https://parts-sales.ru/parts/MAN/81974500018","81.97450-0018")</f>
        <v>81.97450-0018</v>
      </c>
      <c r="B3790" s="12" t="str">
        <f>HYPERLINK("https://parts-sales.ru/parts/MAN/81974500018","Крепежная скоба 16/22-7-ST37-2")</f>
        <v>Крепежная скоба 16/22-7-ST37-2</v>
      </c>
      <c r="C3790" s="3" t="s">
        <v>12</v>
      </c>
      <c r="D3790" s="4">
        <v>421.2</v>
      </c>
      <c r="E3790" s="4">
        <v>14</v>
      </c>
      <c r="F3790" s="8">
        <v>0.97</v>
      </c>
      <c r="H3790" s="11"/>
      <c r="I3790" s="11"/>
      <c r="J3790" s="11"/>
    </row>
    <row r="3791" spans="1:10" ht="15.75" x14ac:dyDescent="0.3">
      <c r="A3791" s="13" t="str">
        <f>HYPERLINK("https://parts-sales.ru/parts/MAN/81974500032","81.97450-0032")</f>
        <v>81.97450-0032</v>
      </c>
      <c r="B3791" s="13" t="str">
        <f>HYPERLINK("https://parts-sales.ru/parts/MAN/81974500032","Скоба для крепления труб A113X30X94-13-X")</f>
        <v>Скоба для крепления труб A113X30X94-13-X</v>
      </c>
      <c r="C3791" s="5" t="s">
        <v>12</v>
      </c>
      <c r="D3791" s="6">
        <v>4401.6000000000004</v>
      </c>
      <c r="E3791" s="6">
        <v>449</v>
      </c>
      <c r="F3791" s="9">
        <v>0.9</v>
      </c>
      <c r="H3791" s="11"/>
      <c r="I3791" s="11"/>
      <c r="J3791" s="11"/>
    </row>
    <row r="3792" spans="1:10" ht="15.75" x14ac:dyDescent="0.3">
      <c r="A3792" s="12" t="str">
        <f>HYPERLINK("https://parts-sales.ru/parts/MAN/81974500061","81.97450-0061")</f>
        <v>81.97450-0061</v>
      </c>
      <c r="B3792" s="12" t="str">
        <f>HYPERLINK("https://parts-sales.ru/parts/MAN/81974500061","Крепежный зажим")</f>
        <v>Крепежный зажим</v>
      </c>
      <c r="C3792" s="3" t="s">
        <v>12</v>
      </c>
      <c r="D3792" s="4">
        <v>229.2</v>
      </c>
      <c r="E3792" s="4">
        <v>6</v>
      </c>
      <c r="F3792" s="8">
        <v>0.97</v>
      </c>
      <c r="H3792" s="11"/>
      <c r="I3792" s="11"/>
      <c r="J3792" s="11"/>
    </row>
    <row r="3793" spans="1:10" ht="15.75" x14ac:dyDescent="0.3">
      <c r="A3793" s="13" t="str">
        <f>HYPERLINK("https://parts-sales.ru/parts/MAN/81974606084","81.97460-6084")</f>
        <v>81.97460-6084</v>
      </c>
      <c r="B3793" s="13" t="str">
        <f>HYPERLINK("https://parts-sales.ru/parts/MAN/81974606084","Ленточная растяжка")</f>
        <v>Ленточная растяжка</v>
      </c>
      <c r="C3793" s="5" t="s">
        <v>12</v>
      </c>
      <c r="D3793" s="6">
        <v>13986</v>
      </c>
      <c r="E3793" s="6">
        <v>3636</v>
      </c>
      <c r="F3793" s="9">
        <v>0.74</v>
      </c>
      <c r="H3793" s="11"/>
      <c r="I3793" s="11"/>
      <c r="J3793" s="11"/>
    </row>
    <row r="3794" spans="1:10" ht="15.75" x14ac:dyDescent="0.3">
      <c r="A3794" s="12" t="str">
        <f>HYPERLINK("https://parts-sales.ru/parts/MAN/81974700051","81.97470-0051")</f>
        <v>81.97470-0051</v>
      </c>
      <c r="B3794" s="12" t="str">
        <f>HYPERLINK("https://parts-sales.ru/parts/MAN/81974700051","Распорка 11-6-PA12.2-SW")</f>
        <v>Распорка 11-6-PA12.2-SW</v>
      </c>
      <c r="C3794" s="3" t="s">
        <v>12</v>
      </c>
      <c r="D3794" s="4">
        <v>946.8</v>
      </c>
      <c r="E3794" s="4">
        <v>5</v>
      </c>
      <c r="F3794" s="8">
        <v>0.99</v>
      </c>
      <c r="H3794" s="11"/>
      <c r="I3794" s="11"/>
      <c r="J3794" s="11"/>
    </row>
    <row r="3795" spans="1:10" ht="15.75" x14ac:dyDescent="0.3">
      <c r="A3795" s="13" t="str">
        <f>HYPERLINK("https://parts-sales.ru/parts/MAN/81974700060","81.97470-0060")</f>
        <v>81.97470-0060</v>
      </c>
      <c r="B3795" s="13" t="str">
        <f>HYPERLINK("https://parts-sales.ru/parts/MAN/81974700060","Распорка 15-8-PA12.2-GR")</f>
        <v>Распорка 15-8-PA12.2-GR</v>
      </c>
      <c r="C3795" s="5" t="s">
        <v>12</v>
      </c>
      <c r="D3795" s="6">
        <v>846</v>
      </c>
      <c r="E3795" s="6">
        <v>13</v>
      </c>
      <c r="F3795" s="9">
        <v>0.98</v>
      </c>
      <c r="H3795" s="11"/>
      <c r="I3795" s="11"/>
      <c r="J3795" s="11"/>
    </row>
    <row r="3796" spans="1:10" ht="15.75" x14ac:dyDescent="0.3">
      <c r="A3796" s="12" t="str">
        <f>HYPERLINK("https://parts-sales.ru/parts/MAN/81974700077","81.97470-0077")</f>
        <v>81.97470-0077</v>
      </c>
      <c r="B3796" s="12" t="str">
        <f>HYPERLINK("https://parts-sales.ru/parts/MAN/81974700077","Бандаж пучка кабелей 2,4X210-PA6.6-TR")</f>
        <v>Бандаж пучка кабелей 2,4X210-PA6.6-TR</v>
      </c>
      <c r="C3796" s="3" t="s">
        <v>12</v>
      </c>
      <c r="D3796" s="4">
        <v>63.6</v>
      </c>
      <c r="E3796" s="4">
        <v>12</v>
      </c>
      <c r="F3796" s="8">
        <v>0.81</v>
      </c>
      <c r="H3796" s="11"/>
      <c r="I3796" s="11"/>
      <c r="J3796" s="11"/>
    </row>
    <row r="3797" spans="1:10" ht="15.75" x14ac:dyDescent="0.3">
      <c r="A3797" s="13" t="str">
        <f>HYPERLINK("https://parts-sales.ru/parts/MAN/81974700087","81.97470-0087")</f>
        <v>81.97470-0087</v>
      </c>
      <c r="B3797" s="13" t="str">
        <f>HYPERLINK("https://parts-sales.ru/parts/MAN/81974700087","Бандаж пучка кабелей 4,6X210-PA6.6-SW")</f>
        <v>Бандаж пучка кабелей 4,6X210-PA6.6-SW</v>
      </c>
      <c r="C3797" s="5" t="s">
        <v>12</v>
      </c>
      <c r="D3797" s="6">
        <v>149.80000000000001</v>
      </c>
      <c r="E3797" s="6">
        <v>100</v>
      </c>
      <c r="F3797" s="9">
        <v>0.33</v>
      </c>
      <c r="H3797" s="11"/>
      <c r="I3797" s="11"/>
      <c r="J3797" s="11"/>
    </row>
    <row r="3798" spans="1:10" ht="15.75" x14ac:dyDescent="0.3">
      <c r="A3798" s="12" t="str">
        <f>HYPERLINK("https://parts-sales.ru/parts/MAN/81974700095","81.97470-0095")</f>
        <v>81.97470-0095</v>
      </c>
      <c r="B3798" s="12" t="str">
        <f>HYPERLINK("https://parts-sales.ru/parts/MAN/81974700095","Бандаж пучка кабелей 4,8X186-PTFE-NYLON")</f>
        <v>Бандаж пучка кабелей 4,8X186-PTFE-NYLON</v>
      </c>
      <c r="C3798" s="3" t="s">
        <v>12</v>
      </c>
      <c r="D3798" s="4">
        <v>76.8</v>
      </c>
      <c r="E3798" s="4">
        <v>18</v>
      </c>
      <c r="F3798" s="8">
        <v>0.77</v>
      </c>
      <c r="H3798" s="11"/>
      <c r="I3798" s="11"/>
      <c r="J3798" s="11"/>
    </row>
    <row r="3799" spans="1:10" ht="15.75" x14ac:dyDescent="0.3">
      <c r="A3799" s="13" t="str">
        <f>HYPERLINK("https://parts-sales.ru/parts/MAN/81974700100","81.97470-0100")</f>
        <v>81.97470-0100</v>
      </c>
      <c r="B3799" s="13" t="str">
        <f>HYPERLINK("https://parts-sales.ru/parts/MAN/81974700100","Бандаж пучка кабелей 4,6X200-PA6.6-SW")</f>
        <v>Бандаж пучка кабелей 4,6X200-PA6.6-SW</v>
      </c>
      <c r="C3799" s="5" t="s">
        <v>12</v>
      </c>
      <c r="D3799" s="6">
        <v>312</v>
      </c>
      <c r="E3799" s="6">
        <v>6</v>
      </c>
      <c r="F3799" s="9">
        <v>0.98</v>
      </c>
      <c r="H3799" s="11"/>
      <c r="I3799" s="11"/>
      <c r="J3799" s="11"/>
    </row>
    <row r="3800" spans="1:10" ht="15.75" x14ac:dyDescent="0.3">
      <c r="A3800" s="12" t="str">
        <f>HYPERLINK("https://parts-sales.ru/parts/MAN/81974700103","81.97470-0103")</f>
        <v>81.97470-0103</v>
      </c>
      <c r="B3800" s="12" t="str">
        <f>HYPERLINK("https://parts-sales.ru/parts/MAN/81974700103","Бандаж пучка кабелей 3,6X150/7,7-8-PA6.6")</f>
        <v>Бандаж пучка кабелей 3,6X150/7,7-8-PA6.6</v>
      </c>
      <c r="C3800" s="3" t="s">
        <v>12</v>
      </c>
      <c r="D3800" s="4">
        <v>291.60000000000002</v>
      </c>
      <c r="E3800" s="4">
        <v>69</v>
      </c>
      <c r="F3800" s="8">
        <v>0.76</v>
      </c>
      <c r="H3800" s="11"/>
      <c r="I3800" s="11"/>
      <c r="J3800" s="11"/>
    </row>
    <row r="3801" spans="1:10" ht="15.75" x14ac:dyDescent="0.3">
      <c r="A3801" s="13" t="str">
        <f>HYPERLINK("https://parts-sales.ru/parts/MAN/81974700111","81.97470-0111")</f>
        <v>81.97470-0111</v>
      </c>
      <c r="B3801" s="13" t="str">
        <f>HYPERLINK("https://parts-sales.ru/parts/MAN/81974700111","Бандаж пучка кабелей 8,8X914-TSL-910-HD-")</f>
        <v>Бандаж пучка кабелей 8,8X914-TSL-910-HD-</v>
      </c>
      <c r="C3801" s="5" t="s">
        <v>12</v>
      </c>
      <c r="D3801" s="6">
        <v>165.6</v>
      </c>
      <c r="E3801" s="6">
        <v>20</v>
      </c>
      <c r="F3801" s="9">
        <v>0.88</v>
      </c>
      <c r="H3801" s="11"/>
      <c r="I3801" s="11"/>
      <c r="J3801" s="11"/>
    </row>
    <row r="3802" spans="1:10" ht="15.75" x14ac:dyDescent="0.3">
      <c r="A3802" s="12" t="str">
        <f>HYPERLINK("https://parts-sales.ru/parts/MAN/81974860305","81.97486-0305")</f>
        <v>81.97486-0305</v>
      </c>
      <c r="B3802" s="12" t="str">
        <f>HYPERLINK("https://parts-sales.ru/parts/MAN/81974860305","Угольник 65X100X30")</f>
        <v>Угольник 65X100X30</v>
      </c>
      <c r="C3802" s="3" t="s">
        <v>12</v>
      </c>
      <c r="D3802" s="4">
        <v>1008</v>
      </c>
      <c r="E3802" s="4">
        <v>367</v>
      </c>
      <c r="F3802" s="8">
        <v>0.64</v>
      </c>
      <c r="H3802" s="11"/>
      <c r="I3802" s="11"/>
      <c r="J3802" s="11"/>
    </row>
    <row r="3803" spans="1:10" ht="15.75" x14ac:dyDescent="0.3">
      <c r="A3803" s="13" t="str">
        <f>HYPERLINK("https://parts-sales.ru/parts/MAN/81974860365","81.97486-0365")</f>
        <v>81.97486-0365</v>
      </c>
      <c r="B3803" s="13" t="str">
        <f>HYPERLINK("https://parts-sales.ru/parts/MAN/81974860365","Крепежный цоколь 19,1X19,1/4,0-ABS-SK-WS")</f>
        <v>Крепежный цоколь 19,1X19,1/4,0-ABS-SK-WS</v>
      </c>
      <c r="C3803" s="5" t="s">
        <v>12</v>
      </c>
      <c r="D3803" s="6">
        <v>1083.5999999999999</v>
      </c>
      <c r="E3803" s="6">
        <v>232</v>
      </c>
      <c r="F3803" s="9">
        <v>0.79</v>
      </c>
      <c r="H3803" s="11"/>
      <c r="I3803" s="11"/>
      <c r="J3803" s="11"/>
    </row>
    <row r="3804" spans="1:10" ht="15.75" x14ac:dyDescent="0.3">
      <c r="A3804" s="12" t="str">
        <f>HYPERLINK("https://parts-sales.ru/parts/MAN/81974865016","81.97486-5016")</f>
        <v>81.97486-5016</v>
      </c>
      <c r="B3804" s="12" t="str">
        <f>HYPERLINK("https://parts-sales.ru/parts/MAN/81974865016","Накладка")</f>
        <v>Накладка</v>
      </c>
      <c r="C3804" s="3" t="s">
        <v>12</v>
      </c>
      <c r="D3804" s="4">
        <v>3745.2</v>
      </c>
      <c r="E3804" s="4">
        <v>970</v>
      </c>
      <c r="F3804" s="8">
        <v>0.74</v>
      </c>
      <c r="H3804" s="11"/>
      <c r="I3804" s="11"/>
      <c r="J3804" s="11"/>
    </row>
    <row r="3805" spans="1:10" ht="15.75" x14ac:dyDescent="0.3">
      <c r="A3805" s="13" t="str">
        <f>HYPERLINK("https://parts-sales.ru/parts/MAN/81980016046","81.98001-6046")</f>
        <v>81.98001-6046</v>
      </c>
      <c r="B3805" s="13" t="str">
        <f>HYPERLINK("https://parts-sales.ru/parts/MAN/81980016046","Плав. резьбовое соединение L15M-OHNESR+U")</f>
        <v>Плав. резьбовое соединение L15M-OHNESR+U</v>
      </c>
      <c r="C3805" s="5" t="s">
        <v>41</v>
      </c>
      <c r="D3805" s="6">
        <v>559.20000000000005</v>
      </c>
      <c r="E3805" s="6">
        <v>141</v>
      </c>
      <c r="F3805" s="9">
        <v>0.75</v>
      </c>
      <c r="H3805" s="11"/>
      <c r="I3805" s="11"/>
      <c r="J3805" s="11"/>
    </row>
    <row r="3806" spans="1:10" ht="15.75" x14ac:dyDescent="0.3">
      <c r="A3806" s="12" t="str">
        <f>HYPERLINK("https://parts-sales.ru/parts/MAN/81981100044","81.98110-0044")</f>
        <v>81.98110-0044</v>
      </c>
      <c r="B3806" s="12" t="str">
        <f>HYPERLINK("https://parts-sales.ru/parts/MAN/81981100044","Угловой штуцер")</f>
        <v>Угловой штуцер</v>
      </c>
      <c r="C3806" s="3" t="s">
        <v>41</v>
      </c>
      <c r="D3806" s="4">
        <v>14994</v>
      </c>
      <c r="E3806" s="4">
        <v>2945</v>
      </c>
      <c r="F3806" s="8">
        <v>0.8</v>
      </c>
      <c r="H3806" s="11"/>
      <c r="I3806" s="11"/>
      <c r="J3806" s="11"/>
    </row>
    <row r="3807" spans="1:10" ht="15.75" x14ac:dyDescent="0.3">
      <c r="A3807" s="13" t="str">
        <f>HYPERLINK("https://parts-sales.ru/parts/MAN/81981300580","81.98130-0580")</f>
        <v>81.98130-0580</v>
      </c>
      <c r="B3807" s="13" t="str">
        <f>HYPERLINK("https://parts-sales.ru/parts/MAN/81981300580","Винтовой штуцер M12X1,5/M14X1,5-SW19X30")</f>
        <v>Винтовой штуцер M12X1,5/M14X1,5-SW19X30</v>
      </c>
      <c r="C3807" s="5" t="s">
        <v>41</v>
      </c>
      <c r="D3807" s="6">
        <v>14605.2</v>
      </c>
      <c r="E3807" s="6">
        <v>3346</v>
      </c>
      <c r="F3807" s="9">
        <v>0.77</v>
      </c>
      <c r="H3807" s="11"/>
      <c r="I3807" s="11"/>
      <c r="J3807" s="11"/>
    </row>
    <row r="3808" spans="1:10" ht="15.75" x14ac:dyDescent="0.3">
      <c r="A3808" s="12" t="str">
        <f>HYPERLINK("https://parts-sales.ru/parts/MAN/81981300786","81.98130-0786")</f>
        <v>81.98130-0786</v>
      </c>
      <c r="B3808" s="12" t="str">
        <f>HYPERLINK("https://parts-sales.ru/parts/MAN/81981300786","Штуцер")</f>
        <v>Штуцер</v>
      </c>
      <c r="C3808" s="3" t="s">
        <v>41</v>
      </c>
      <c r="D3808" s="4">
        <v>8326.7999999999993</v>
      </c>
      <c r="E3808" s="4">
        <v>3264</v>
      </c>
      <c r="F3808" s="8">
        <v>0.61</v>
      </c>
      <c r="H3808" s="11"/>
      <c r="I3808" s="11"/>
      <c r="J3808" s="11"/>
    </row>
    <row r="3809" spans="1:10" ht="15.75" x14ac:dyDescent="0.3">
      <c r="A3809" s="13" t="str">
        <f>HYPERLINK("https://parts-sales.ru/parts/MAN/81981306038","81.98130-6038")</f>
        <v>81.98130-6038</v>
      </c>
      <c r="B3809" s="13" t="str">
        <f>HYPERLINK("https://parts-sales.ru/parts/MAN/81981306038","Винтовой штуцер шланга сцепления")</f>
        <v>Винтовой штуцер шланга сцепления</v>
      </c>
      <c r="C3809" s="5" t="s">
        <v>41</v>
      </c>
      <c r="D3809" s="6">
        <v>2210.5300000000002</v>
      </c>
      <c r="E3809" s="6">
        <v>157</v>
      </c>
      <c r="F3809" s="9">
        <v>0.93</v>
      </c>
      <c r="H3809" s="11"/>
      <c r="I3809" s="11"/>
      <c r="J3809" s="11"/>
    </row>
    <row r="3810" spans="1:10" ht="15.75" x14ac:dyDescent="0.3">
      <c r="A3810" s="12" t="str">
        <f>HYPERLINK("https://parts-sales.ru/parts/MAN/81981306042","81.98130-6042")</f>
        <v>81.98130-6042</v>
      </c>
      <c r="B3810" s="12" t="str">
        <f>HYPERLINK("https://parts-sales.ru/parts/MAN/81981306042","Прямой ввертный штуцер L28")</f>
        <v>Прямой ввертный штуцер L28</v>
      </c>
      <c r="C3810" s="3" t="s">
        <v>41</v>
      </c>
      <c r="D3810" s="4">
        <v>3363.6</v>
      </c>
      <c r="E3810" s="4">
        <v>1541</v>
      </c>
      <c r="F3810" s="8">
        <v>0.54</v>
      </c>
      <c r="H3810" s="11"/>
      <c r="I3810" s="11"/>
      <c r="J3810" s="11"/>
    </row>
    <row r="3811" spans="1:10" ht="15.75" x14ac:dyDescent="0.3">
      <c r="A3811" s="13" t="str">
        <f>HYPERLINK("https://parts-sales.ru/parts/MAN/81981310131","81.98131-0131")</f>
        <v>81.98131-0131</v>
      </c>
      <c r="B3811" s="13" t="str">
        <f>HYPERLINK("https://parts-sales.ru/parts/MAN/81981310131","Угловой штуцер NW6-NW6-POM")</f>
        <v>Угловой штуцер NW6-NW6-POM</v>
      </c>
      <c r="C3811" s="5" t="s">
        <v>41</v>
      </c>
      <c r="D3811" s="6">
        <v>1756.8</v>
      </c>
      <c r="E3811" s="6">
        <v>870</v>
      </c>
      <c r="F3811" s="9">
        <v>0.5</v>
      </c>
      <c r="H3811" s="11"/>
      <c r="I3811" s="11"/>
      <c r="J3811" s="11"/>
    </row>
    <row r="3812" spans="1:10" ht="15.75" x14ac:dyDescent="0.3">
      <c r="A3812" s="12" t="str">
        <f>HYPERLINK("https://parts-sales.ru/parts/MAN/81981380001","81.98138-0001")</f>
        <v>81.98138-0001</v>
      </c>
      <c r="B3812" s="12" t="str">
        <f>HYPERLINK("https://parts-sales.ru/parts/MAN/81981380001","Уплотнительное кольцо 21,539X28,575X2,59")</f>
        <v>Уплотнительное кольцо 21,539X28,575X2,59</v>
      </c>
      <c r="C3812" s="3" t="s">
        <v>41</v>
      </c>
      <c r="D3812" s="4">
        <v>6175.2</v>
      </c>
      <c r="E3812" s="4">
        <v>961</v>
      </c>
      <c r="F3812" s="8">
        <v>0.84</v>
      </c>
      <c r="H3812" s="11"/>
      <c r="I3812" s="11"/>
      <c r="J3812" s="11"/>
    </row>
    <row r="3813" spans="1:10" ht="15.75" x14ac:dyDescent="0.3">
      <c r="A3813" s="13" t="str">
        <f>HYPERLINK("https://parts-sales.ru/parts/MAN/81981500126","81.98150-0126")</f>
        <v>81.98150-0126</v>
      </c>
      <c r="B3813" s="13" t="str">
        <f>HYPERLINK("https://parts-sales.ru/parts/MAN/81981500126","Полый винт")</f>
        <v>Полый винт</v>
      </c>
      <c r="C3813" s="5" t="s">
        <v>41</v>
      </c>
      <c r="D3813" s="6">
        <v>889.2</v>
      </c>
      <c r="E3813" s="6">
        <v>272</v>
      </c>
      <c r="F3813" s="9">
        <v>0.69</v>
      </c>
      <c r="H3813" s="11"/>
      <c r="I3813" s="11"/>
      <c r="J3813" s="11"/>
    </row>
    <row r="3814" spans="1:10" ht="15.75" x14ac:dyDescent="0.3">
      <c r="A3814" s="12" t="str">
        <f>HYPERLINK("https://parts-sales.ru/parts/MAN/81981800000","81.98180-0000")</f>
        <v>81.98180-0000</v>
      </c>
      <c r="B3814" s="12" t="str">
        <f>HYPERLINK("https://parts-sales.ru/parts/MAN/81981800000","Штекерный разъем NG8")</f>
        <v>Штекерный разъем NG8</v>
      </c>
      <c r="C3814" s="3" t="s">
        <v>41</v>
      </c>
      <c r="D3814" s="4">
        <v>1227.5999999999999</v>
      </c>
      <c r="E3814" s="4">
        <v>325</v>
      </c>
      <c r="F3814" s="8">
        <v>0.74</v>
      </c>
      <c r="H3814" s="11"/>
      <c r="I3814" s="11"/>
      <c r="J3814" s="11"/>
    </row>
    <row r="3815" spans="1:10" ht="15.75" x14ac:dyDescent="0.3">
      <c r="A3815" s="13" t="str">
        <f>HYPERLINK("https://parts-sales.ru/parts/MAN/81981806026","81.98180-6026")</f>
        <v>81.98180-6026</v>
      </c>
      <c r="B3815" s="13" t="s">
        <v>62</v>
      </c>
      <c r="C3815" s="5" t="s">
        <v>41</v>
      </c>
      <c r="D3815" s="6">
        <v>2683.2</v>
      </c>
      <c r="E3815" s="6">
        <v>442</v>
      </c>
      <c r="F3815" s="9">
        <v>0.84</v>
      </c>
      <c r="H3815" s="11"/>
      <c r="I3815" s="11"/>
      <c r="J3815" s="11"/>
    </row>
    <row r="3816" spans="1:10" ht="15.75" x14ac:dyDescent="0.3">
      <c r="A3816" s="12" t="str">
        <f>HYPERLINK("https://parts-sales.ru/parts/MAN/81981806028","81.98180-6028")</f>
        <v>81.98180-6028</v>
      </c>
      <c r="B3816" s="12" t="str">
        <f>HYPERLINK("https://parts-sales.ru/parts/MAN/81981806028","Штепсельное соединение")</f>
        <v>Штепсельное соединение</v>
      </c>
      <c r="C3816" s="3" t="s">
        <v>41</v>
      </c>
      <c r="D3816" s="4">
        <v>8565.6</v>
      </c>
      <c r="E3816" s="4">
        <v>2895</v>
      </c>
      <c r="F3816" s="8">
        <v>0.66</v>
      </c>
      <c r="H3816" s="11"/>
      <c r="I3816" s="11"/>
      <c r="J3816" s="11"/>
    </row>
    <row r="3817" spans="1:10" ht="15.75" x14ac:dyDescent="0.3">
      <c r="A3817" s="13" t="str">
        <f>HYPERLINK("https://parts-sales.ru/parts/MAN/81981806032","81.98180-6032")</f>
        <v>81.98180-6032</v>
      </c>
      <c r="B3817" s="13" t="s">
        <v>63</v>
      </c>
      <c r="C3817" s="5" t="s">
        <v>41</v>
      </c>
      <c r="D3817" s="6">
        <v>1489.2</v>
      </c>
      <c r="E3817" s="6">
        <v>239</v>
      </c>
      <c r="F3817" s="9">
        <v>0.84</v>
      </c>
      <c r="H3817" s="11"/>
      <c r="I3817" s="11"/>
      <c r="J3817" s="11"/>
    </row>
    <row r="3818" spans="1:10" ht="15.75" x14ac:dyDescent="0.3">
      <c r="A3818" s="12" t="str">
        <f>HYPERLINK("https://parts-sales.ru/parts/MAN/81981806037","81.98180-6037")</f>
        <v>81.98180-6037</v>
      </c>
      <c r="B3818" s="12" t="s">
        <v>64</v>
      </c>
      <c r="C3818" s="3" t="s">
        <v>41</v>
      </c>
      <c r="D3818" s="4">
        <v>2144.4</v>
      </c>
      <c r="E3818" s="4">
        <v>571</v>
      </c>
      <c r="F3818" s="8">
        <v>0.73</v>
      </c>
      <c r="H3818" s="11"/>
      <c r="I3818" s="11"/>
      <c r="J3818" s="11"/>
    </row>
    <row r="3819" spans="1:10" ht="15.75" x14ac:dyDescent="0.3">
      <c r="A3819" s="13" t="str">
        <f>HYPERLINK("https://parts-sales.ru/parts/MAN/81981806041","81.98180-6041")</f>
        <v>81.98180-6041</v>
      </c>
      <c r="B3819" s="13" t="s">
        <v>65</v>
      </c>
      <c r="C3819" s="5" t="s">
        <v>41</v>
      </c>
      <c r="D3819" s="6">
        <v>1664.4</v>
      </c>
      <c r="E3819" s="6">
        <v>215</v>
      </c>
      <c r="F3819" s="9">
        <v>0.87</v>
      </c>
      <c r="H3819" s="11"/>
      <c r="I3819" s="11"/>
      <c r="J3819" s="11"/>
    </row>
    <row r="3820" spans="1:10" ht="15.75" x14ac:dyDescent="0.3">
      <c r="A3820" s="12" t="str">
        <f>HYPERLINK("https://parts-sales.ru/parts/MAN/81981810229","81.98181-0229")</f>
        <v>81.98181-0229</v>
      </c>
      <c r="B3820" s="12" t="str">
        <f>HYPERLINK("https://parts-sales.ru/parts/MAN/81981810229","Т-образный соед.штуцер NW9-NW6-NW9-CUZN")</f>
        <v>Т-образный соед.штуцер NW9-NW6-NW9-CUZN</v>
      </c>
      <c r="C3820" s="3" t="s">
        <v>41</v>
      </c>
      <c r="D3820" s="4">
        <v>2126.4</v>
      </c>
      <c r="E3820" s="4">
        <v>499</v>
      </c>
      <c r="F3820" s="8">
        <v>0.77</v>
      </c>
      <c r="H3820" s="11"/>
      <c r="I3820" s="11"/>
      <c r="J3820" s="11"/>
    </row>
    <row r="3821" spans="1:10" ht="15.75" x14ac:dyDescent="0.3">
      <c r="A3821" s="13" t="str">
        <f>HYPERLINK("https://parts-sales.ru/parts/MAN/81981810236","81.98181-0236")</f>
        <v>81.98181-0236</v>
      </c>
      <c r="B3821" s="13" t="str">
        <f>HYPERLINK("https://parts-sales.ru/parts/MAN/81981810236","Т-образный соед.штуцер NW4-NW4-NW4-CUZN")</f>
        <v>Т-образный соед.штуцер NW4-NW4-NW4-CUZN</v>
      </c>
      <c r="C3821" s="5" t="s">
        <v>41</v>
      </c>
      <c r="D3821" s="6">
        <v>312.60000000000002</v>
      </c>
      <c r="E3821" s="6">
        <v>187</v>
      </c>
      <c r="F3821" s="9">
        <v>0.4</v>
      </c>
      <c r="H3821" s="11"/>
      <c r="I3821" s="11"/>
      <c r="J3821" s="11"/>
    </row>
    <row r="3822" spans="1:10" ht="15.75" x14ac:dyDescent="0.3">
      <c r="A3822" s="12" t="str">
        <f>HYPERLINK("https://parts-sales.ru/parts/MAN/81981810259","81.98181-0259")</f>
        <v>81.98181-0259</v>
      </c>
      <c r="B3822" s="12" t="str">
        <f>HYPERLINK("https://parts-sales.ru/parts/MAN/81981810259","Соединительный штуцер NW12-NW12-CUZN")</f>
        <v>Соединительный штуцер NW12-NW12-CUZN</v>
      </c>
      <c r="C3822" s="3" t="s">
        <v>41</v>
      </c>
      <c r="D3822" s="4">
        <v>4350</v>
      </c>
      <c r="E3822" s="4">
        <v>697</v>
      </c>
      <c r="F3822" s="8">
        <v>0.84</v>
      </c>
      <c r="H3822" s="11"/>
      <c r="I3822" s="11"/>
      <c r="J3822" s="11"/>
    </row>
    <row r="3823" spans="1:10" ht="15.75" x14ac:dyDescent="0.3">
      <c r="A3823" s="13" t="str">
        <f>HYPERLINK("https://parts-sales.ru/parts/MAN/81981810264","81.98181-0264")</f>
        <v>81.98181-0264</v>
      </c>
      <c r="B3823" s="13" t="str">
        <f>HYPERLINK("https://parts-sales.ru/parts/MAN/81981810264","Т-образный соед.штуцер NW6-NW9-NW9-CUZN")</f>
        <v>Т-образный соед.штуцер NW6-NW9-NW9-CUZN</v>
      </c>
      <c r="C3823" s="5" t="s">
        <v>41</v>
      </c>
      <c r="D3823" s="6">
        <v>2398.8000000000002</v>
      </c>
      <c r="E3823" s="6">
        <v>183</v>
      </c>
      <c r="F3823" s="9">
        <v>0.92</v>
      </c>
      <c r="H3823" s="11"/>
      <c r="I3823" s="11"/>
      <c r="J3823" s="11"/>
    </row>
    <row r="3824" spans="1:10" ht="15.75" x14ac:dyDescent="0.3">
      <c r="A3824" s="12" t="str">
        <f>HYPERLINK("https://parts-sales.ru/parts/MAN/81981810269","81.98181-0269")</f>
        <v>81.98181-0269</v>
      </c>
      <c r="B3824" s="12" t="str">
        <f>HYPERLINK("https://parts-sales.ru/parts/MAN/81981810269","Штекер G-6-U4-CUZN/203")</f>
        <v>Штекер G-6-U4-CUZN/203</v>
      </c>
      <c r="C3824" s="3" t="s">
        <v>41</v>
      </c>
      <c r="D3824" s="4">
        <v>2019.6</v>
      </c>
      <c r="E3824" s="4">
        <v>457</v>
      </c>
      <c r="F3824" s="8">
        <v>0.77</v>
      </c>
      <c r="H3824" s="11"/>
      <c r="I3824" s="11"/>
      <c r="J3824" s="11"/>
    </row>
    <row r="3825" spans="1:10" ht="15.75" x14ac:dyDescent="0.3">
      <c r="A3825" s="13" t="str">
        <f>HYPERLINK("https://parts-sales.ru/parts/MAN/81981816317","81.98181-6317")</f>
        <v>81.98181-6317</v>
      </c>
      <c r="B3825" s="13" t="str">
        <f>HYPERLINK("https://parts-sales.ru/parts/MAN/81981816317","Забивной ниппель L12 12X1,5")</f>
        <v>Забивной ниппель L12 12X1,5</v>
      </c>
      <c r="C3825" s="5" t="s">
        <v>41</v>
      </c>
      <c r="D3825" s="6">
        <v>3614.4</v>
      </c>
      <c r="E3825" s="6">
        <v>651</v>
      </c>
      <c r="F3825" s="9">
        <v>0.82</v>
      </c>
      <c r="H3825" s="11"/>
      <c r="I3825" s="11"/>
      <c r="J3825" s="11"/>
    </row>
    <row r="3826" spans="1:10" ht="15.75" x14ac:dyDescent="0.3">
      <c r="A3826" s="12" t="str">
        <f>HYPERLINK("https://parts-sales.ru/parts/MAN/81981816332","81.98181-6332")</f>
        <v>81.98181-6332</v>
      </c>
      <c r="B3826" s="12" t="str">
        <f>HYPERLINK("https://parts-sales.ru/parts/MAN/81981816332","Прямое вверт. штепс. соед-е G-U6-EM6X0,7")</f>
        <v>Прямое вверт. штепс. соед-е G-U6-EM6X0,7</v>
      </c>
      <c r="C3826" s="3" t="s">
        <v>41</v>
      </c>
      <c r="D3826" s="4">
        <v>2368.8000000000002</v>
      </c>
      <c r="E3826" s="4">
        <v>186</v>
      </c>
      <c r="F3826" s="8">
        <v>0.92</v>
      </c>
      <c r="H3826" s="11"/>
      <c r="I3826" s="11"/>
      <c r="J3826" s="11"/>
    </row>
    <row r="3827" spans="1:10" ht="15.75" x14ac:dyDescent="0.3">
      <c r="A3827" s="13" t="str">
        <f>HYPERLINK("https://parts-sales.ru/parts/MAN/81981816357","81.98181-6357")</f>
        <v>81.98181-6357</v>
      </c>
      <c r="B3827" s="13" t="str">
        <f>HYPERLINK("https://parts-sales.ru/parts/MAN/81981816357","Штепсельное соединение GS-K6-PRA-CUZN/23")</f>
        <v>Штепсельное соединение GS-K6-PRA-CUZN/23</v>
      </c>
      <c r="C3827" s="5" t="s">
        <v>41</v>
      </c>
      <c r="D3827" s="6">
        <v>1604.04</v>
      </c>
      <c r="E3827" s="6">
        <v>748</v>
      </c>
      <c r="F3827" s="9">
        <v>0.53</v>
      </c>
      <c r="H3827" s="11"/>
      <c r="I3827" s="11"/>
      <c r="J3827" s="11"/>
    </row>
    <row r="3828" spans="1:10" ht="15.75" x14ac:dyDescent="0.3">
      <c r="A3828" s="12" t="str">
        <f>HYPERLINK("https://parts-sales.ru/parts/MAN/81981816363","81.98181-6363")</f>
        <v>81.98181-6363</v>
      </c>
      <c r="B3828" s="12" t="str">
        <f>HYPERLINK("https://parts-sales.ru/parts/MAN/81981816363","Штекер G-8,9-D4-CUZN")</f>
        <v>Штекер G-8,9-D4-CUZN</v>
      </c>
      <c r="C3828" s="3" t="s">
        <v>41</v>
      </c>
      <c r="D3828" s="4">
        <v>2131.1999999999998</v>
      </c>
      <c r="E3828" s="4">
        <v>493</v>
      </c>
      <c r="F3828" s="8">
        <v>0.77</v>
      </c>
      <c r="H3828" s="11"/>
      <c r="I3828" s="11"/>
      <c r="J3828" s="11"/>
    </row>
    <row r="3829" spans="1:10" ht="15.75" x14ac:dyDescent="0.3">
      <c r="A3829" s="13" t="str">
        <f>HYPERLINK("https://parts-sales.ru/parts/MAN/81981816386","81.98181-6386")</f>
        <v>81.98181-6386</v>
      </c>
      <c r="B3829" s="13" t="str">
        <f>HYPERLINK("https://parts-sales.ru/parts/MAN/81981816386","Прямое перебор. штепс. соед-е GS-K6-EM12")</f>
        <v>Прямое перебор. штепс. соед-е GS-K6-EM12</v>
      </c>
      <c r="C3829" s="5" t="s">
        <v>41</v>
      </c>
      <c r="D3829" s="6">
        <v>4310.3999999999996</v>
      </c>
      <c r="E3829" s="6">
        <v>382</v>
      </c>
      <c r="F3829" s="9">
        <v>0.91</v>
      </c>
      <c r="H3829" s="11"/>
      <c r="I3829" s="11"/>
      <c r="J3829" s="11"/>
    </row>
    <row r="3830" spans="1:10" ht="15.75" x14ac:dyDescent="0.3">
      <c r="A3830" s="12" t="str">
        <f>HYPERLINK("https://parts-sales.ru/parts/MAN/81981816408","81.98181-6408")</f>
        <v>81.98181-6408</v>
      </c>
      <c r="B3830" s="12" t="str">
        <f>HYPERLINK("https://parts-sales.ru/parts/MAN/81981816408","Прямое вверт. штепс. соед-е G-U6-EM12X1,")</f>
        <v>Прямое вверт. штепс. соед-е G-U6-EM12X1,</v>
      </c>
      <c r="C3830" s="3" t="s">
        <v>41</v>
      </c>
      <c r="D3830" s="4">
        <v>699.6</v>
      </c>
      <c r="E3830" s="4">
        <v>48</v>
      </c>
      <c r="F3830" s="8">
        <v>0.93</v>
      </c>
      <c r="H3830" s="11"/>
      <c r="I3830" s="11"/>
      <c r="J3830" s="11"/>
    </row>
    <row r="3831" spans="1:10" ht="15.75" x14ac:dyDescent="0.3">
      <c r="A3831" s="13" t="str">
        <f>HYPERLINK("https://parts-sales.ru/parts/MAN/81981836012","81.98183-6012")</f>
        <v>81.98183-6012</v>
      </c>
      <c r="B3831" s="13" t="str">
        <f>HYPERLINK("https://parts-sales.ru/parts/MAN/81981836012","L-штекер L-SN12-K6-D6-CUZN/232/230")</f>
        <v>L-штекер L-SN12-K6-D6-CUZN/232/230</v>
      </c>
      <c r="C3831" s="5" t="s">
        <v>41</v>
      </c>
      <c r="D3831" s="6">
        <v>5598</v>
      </c>
      <c r="E3831" s="6">
        <v>2341</v>
      </c>
      <c r="F3831" s="9">
        <v>0.57999999999999996</v>
      </c>
      <c r="H3831" s="11"/>
      <c r="I3831" s="11"/>
      <c r="J3831" s="11"/>
    </row>
    <row r="3832" spans="1:10" ht="15.75" x14ac:dyDescent="0.3">
      <c r="A3832" s="12" t="str">
        <f>HYPERLINK("https://parts-sales.ru/parts/MAN/81981836021","81.98183-6021")</f>
        <v>81.98183-6021</v>
      </c>
      <c r="B3832" s="12" t="str">
        <f>HYPERLINK("https://parts-sales.ru/parts/MAN/81981836021","Штекер G-SN12-D4-CUZN/232")</f>
        <v>Штекер G-SN12-D4-CUZN/232</v>
      </c>
      <c r="C3832" s="3" t="s">
        <v>41</v>
      </c>
      <c r="D3832" s="4">
        <v>3954</v>
      </c>
      <c r="E3832" s="4">
        <v>113</v>
      </c>
      <c r="F3832" s="8">
        <v>0.97</v>
      </c>
      <c r="H3832" s="11"/>
      <c r="I3832" s="11"/>
      <c r="J3832" s="11"/>
    </row>
    <row r="3833" spans="1:10" ht="15.75" x14ac:dyDescent="0.3">
      <c r="A3833" s="13" t="str">
        <f>HYPERLINK("https://parts-sales.ru/parts/MAN/81981836101","81.98183-6101")</f>
        <v>81.98183-6101</v>
      </c>
      <c r="B3833" s="13" t="str">
        <f>HYPERLINK("https://parts-sales.ru/parts/MAN/81981836101","L-штекер L-SN12-KN12-KN12-CUZN/232")</f>
        <v>L-штекер L-SN12-KN12-KN12-CUZN/232</v>
      </c>
      <c r="C3833" s="5" t="s">
        <v>41</v>
      </c>
      <c r="D3833" s="6">
        <v>2066.4</v>
      </c>
      <c r="E3833" s="6">
        <v>143</v>
      </c>
      <c r="F3833" s="9">
        <v>0.93</v>
      </c>
      <c r="H3833" s="11"/>
      <c r="I3833" s="11"/>
      <c r="J3833" s="11"/>
    </row>
    <row r="3834" spans="1:10" ht="15.75" x14ac:dyDescent="0.3">
      <c r="A3834" s="12" t="str">
        <f>HYPERLINK("https://parts-sales.ru/parts/MAN/81981836114","81.98183-6114")</f>
        <v>81.98183-6114</v>
      </c>
      <c r="B3834" s="12" t="str">
        <f>HYPERLINK("https://parts-sales.ru/parts/MAN/81981836114","Накидной винт NG8-M16X1,5-CUZN/232")</f>
        <v>Накидной винт NG8-M16X1,5-CUZN/232</v>
      </c>
      <c r="C3834" s="3" t="s">
        <v>41</v>
      </c>
      <c r="D3834" s="4">
        <v>1640.4</v>
      </c>
      <c r="E3834" s="4">
        <v>923</v>
      </c>
      <c r="F3834" s="8">
        <v>0.44</v>
      </c>
      <c r="H3834" s="11"/>
      <c r="I3834" s="11"/>
      <c r="J3834" s="11"/>
    </row>
    <row r="3835" spans="1:10" ht="15.75" x14ac:dyDescent="0.3">
      <c r="A3835" s="13" t="str">
        <f>HYPERLINK("https://parts-sales.ru/parts/MAN/81981836124","81.98183-6124")</f>
        <v>81.98183-6124</v>
      </c>
      <c r="B3835" s="13" t="str">
        <f>HYPERLINK("https://parts-sales.ru/parts/MAN/81981836124","L-образ. вверт. штепс. соед-е L-EM16X1,5")</f>
        <v>L-образ. вверт. штепс. соед-е L-EM16X1,5</v>
      </c>
      <c r="C3835" s="5" t="s">
        <v>41</v>
      </c>
      <c r="D3835" s="6">
        <v>14389.2</v>
      </c>
      <c r="E3835" s="6">
        <v>2967</v>
      </c>
      <c r="F3835" s="9">
        <v>0.79</v>
      </c>
      <c r="H3835" s="11"/>
      <c r="I3835" s="11"/>
      <c r="J3835" s="11"/>
    </row>
    <row r="3836" spans="1:10" ht="15.75" x14ac:dyDescent="0.3">
      <c r="A3836" s="12" t="str">
        <f>HYPERLINK("https://parts-sales.ru/parts/MAN/81981836129","81.98183-6129")</f>
        <v>81.98183-6129</v>
      </c>
      <c r="B3836" s="12" t="str">
        <f>HYPERLINK("https://parts-sales.ru/parts/MAN/81981836129","Заглушка GZ-SN8-CUZN/232")</f>
        <v>Заглушка GZ-SN8-CUZN/232</v>
      </c>
      <c r="C3836" s="3" t="s">
        <v>41</v>
      </c>
      <c r="D3836" s="4">
        <v>2097.6</v>
      </c>
      <c r="E3836" s="4">
        <v>302</v>
      </c>
      <c r="F3836" s="8">
        <v>0.86</v>
      </c>
      <c r="H3836" s="11"/>
      <c r="I3836" s="11"/>
      <c r="J3836" s="11"/>
    </row>
    <row r="3837" spans="1:10" ht="15.75" x14ac:dyDescent="0.3">
      <c r="A3837" s="13" t="str">
        <f>HYPERLINK("https://parts-sales.ru/parts/MAN/81981836131","81.98183-6131")</f>
        <v>81.98183-6131</v>
      </c>
      <c r="B3837" s="13" t="str">
        <f>HYPERLINK("https://parts-sales.ru/parts/MAN/81981836131","L-штекер L-SN12-D9-D9-CUZN/232")</f>
        <v>L-штекер L-SN12-D9-D9-CUZN/232</v>
      </c>
      <c r="C3837" s="5" t="s">
        <v>41</v>
      </c>
      <c r="D3837" s="6">
        <v>3188.4</v>
      </c>
      <c r="E3837" s="6">
        <v>1327</v>
      </c>
      <c r="F3837" s="9">
        <v>0.57999999999999996</v>
      </c>
      <c r="H3837" s="11"/>
      <c r="I3837" s="11"/>
      <c r="J3837" s="11"/>
    </row>
    <row r="3838" spans="1:10" ht="15.75" x14ac:dyDescent="0.3">
      <c r="A3838" s="12" t="str">
        <f>HYPERLINK("https://parts-sales.ru/parts/MAN/81981836140","81.98183-6140")</f>
        <v>81.98183-6140</v>
      </c>
      <c r="B3838" s="12" t="str">
        <f>HYPERLINK("https://parts-sales.ru/parts/MAN/81981836140","W-штекер WA-SN12-D9-D9/90G-CUZN/232")</f>
        <v>W-штекер WA-SN12-D9-D9/90G-CUZN/232</v>
      </c>
      <c r="C3838" s="3" t="s">
        <v>41</v>
      </c>
      <c r="D3838" s="4">
        <v>5292</v>
      </c>
      <c r="E3838" s="4">
        <v>1254</v>
      </c>
      <c r="F3838" s="8">
        <v>0.76</v>
      </c>
      <c r="H3838" s="11"/>
      <c r="I3838" s="11"/>
      <c r="J3838" s="11"/>
    </row>
    <row r="3839" spans="1:10" ht="15.75" x14ac:dyDescent="0.3">
      <c r="A3839" s="13" t="str">
        <f>HYPERLINK("https://parts-sales.ru/parts/MAN/81981836144","81.98183-6144")</f>
        <v>81.98183-6144</v>
      </c>
      <c r="B3839" s="13" t="str">
        <f>HYPERLINK("https://parts-sales.ru/parts/MAN/81981836144","GE-штекерный разъем G-SN12-EM22X1,5-CUZN")</f>
        <v>GE-штекерный разъем G-SN12-EM22X1,5-CUZN</v>
      </c>
      <c r="C3839" s="5" t="s">
        <v>41</v>
      </c>
      <c r="D3839" s="6">
        <v>3812.4</v>
      </c>
      <c r="E3839" s="6">
        <v>978</v>
      </c>
      <c r="F3839" s="9">
        <v>0.74</v>
      </c>
      <c r="H3839" s="11"/>
      <c r="I3839" s="11"/>
      <c r="J3839" s="11"/>
    </row>
    <row r="3840" spans="1:10" ht="15.75" x14ac:dyDescent="0.3">
      <c r="A3840" s="12" t="str">
        <f>HYPERLINK("https://parts-sales.ru/parts/MAN/81981836147","81.98183-6147")</f>
        <v>81.98183-6147</v>
      </c>
      <c r="B3840" s="12" t="str">
        <f>HYPERLINK("https://parts-sales.ru/parts/MAN/81981836147","W-штекер WA-SN12-D9-GM12X1,5-CUZN/232")</f>
        <v>W-штекер WA-SN12-D9-GM12X1,5-CUZN/232</v>
      </c>
      <c r="C3840" s="3" t="s">
        <v>41</v>
      </c>
      <c r="D3840" s="4">
        <v>4614</v>
      </c>
      <c r="E3840" s="4">
        <v>916</v>
      </c>
      <c r="F3840" s="8">
        <v>0.8</v>
      </c>
      <c r="H3840" s="11"/>
      <c r="I3840" s="11"/>
      <c r="J3840" s="11"/>
    </row>
    <row r="3841" spans="1:10" ht="15.75" x14ac:dyDescent="0.3">
      <c r="A3841" s="13" t="str">
        <f>HYPERLINK("https://parts-sales.ru/parts/MAN/81981836181","81.98183-6181")</f>
        <v>81.98183-6181</v>
      </c>
      <c r="B3841" s="13" t="str">
        <f>HYPERLINK("https://parts-sales.ru/parts/MAN/81981836181","Т-образный штекер T-SN12-GM12X1,5-D6-CUZ")</f>
        <v>Т-образный штекер T-SN12-GM12X1,5-D6-CUZ</v>
      </c>
      <c r="C3841" s="5" t="s">
        <v>41</v>
      </c>
      <c r="D3841" s="6">
        <v>8724</v>
      </c>
      <c r="E3841" s="6">
        <v>2036</v>
      </c>
      <c r="F3841" s="9">
        <v>0.77</v>
      </c>
      <c r="H3841" s="11"/>
      <c r="I3841" s="11"/>
      <c r="J3841" s="11"/>
    </row>
    <row r="3842" spans="1:10" ht="15.75" x14ac:dyDescent="0.3">
      <c r="A3842" s="12" t="str">
        <f>HYPERLINK("https://parts-sales.ru/parts/MAN/81981836213","81.98183-6213")</f>
        <v>81.98183-6213</v>
      </c>
      <c r="B3842" s="12" t="str">
        <f>HYPERLINK("https://parts-sales.ru/parts/MAN/81981836213","Прям. вверт. перебор. разъем GS-SN12-EM1")</f>
        <v>Прям. вверт. перебор. разъем GS-SN12-EM1</v>
      </c>
      <c r="C3842" s="3" t="s">
        <v>41</v>
      </c>
      <c r="D3842" s="4">
        <v>463.2</v>
      </c>
      <c r="E3842" s="4">
        <v>96</v>
      </c>
      <c r="F3842" s="8">
        <v>0.79</v>
      </c>
      <c r="H3842" s="11"/>
      <c r="I3842" s="11"/>
      <c r="J3842" s="11"/>
    </row>
    <row r="3843" spans="1:10" ht="15.75" x14ac:dyDescent="0.3">
      <c r="A3843" s="13" t="str">
        <f>HYPERLINK("https://parts-sales.ru/parts/MAN/81981836302","81.98183-6302")</f>
        <v>81.98183-6302</v>
      </c>
      <c r="B3843" s="13" t="str">
        <f>HYPERLINK("https://parts-sales.ru/parts/MAN/81981836302","Штекер G-SN12-D12-CUZN/232")</f>
        <v>Штекер G-SN12-D12-CUZN/232</v>
      </c>
      <c r="C3843" s="5" t="s">
        <v>41</v>
      </c>
      <c r="D3843" s="6">
        <v>2476.8000000000002</v>
      </c>
      <c r="E3843" s="6">
        <v>100</v>
      </c>
      <c r="F3843" s="9">
        <v>0.96</v>
      </c>
      <c r="H3843" s="11"/>
      <c r="I3843" s="11"/>
      <c r="J3843" s="11"/>
    </row>
    <row r="3844" spans="1:10" ht="15.75" x14ac:dyDescent="0.3">
      <c r="A3844" s="12" t="str">
        <f>HYPERLINK("https://parts-sales.ru/parts/MAN/81981836308","81.98183-6308")</f>
        <v>81.98183-6308</v>
      </c>
      <c r="B3844" s="12" t="str">
        <f>HYPERLINK("https://parts-sales.ru/parts/MAN/81981836308","Прямое вверт. штепс. соед-е G-KN12-EM16X")</f>
        <v>Прямое вверт. штепс. соед-е G-KN12-EM16X</v>
      </c>
      <c r="C3844" s="3" t="s">
        <v>41</v>
      </c>
      <c r="D3844" s="4">
        <v>4246.8</v>
      </c>
      <c r="E3844" s="4">
        <v>1001</v>
      </c>
      <c r="F3844" s="8">
        <v>0.76</v>
      </c>
      <c r="H3844" s="11"/>
      <c r="I3844" s="11"/>
      <c r="J3844" s="11"/>
    </row>
    <row r="3845" spans="1:10" ht="15.75" x14ac:dyDescent="0.3">
      <c r="A3845" s="13" t="str">
        <f>HYPERLINK("https://parts-sales.ru/parts/MAN/81981836310","81.98183-6310")</f>
        <v>81.98183-6310</v>
      </c>
      <c r="B3845" s="13" t="str">
        <f>HYPERLINK("https://parts-sales.ru/parts/MAN/81981836310","Прямое вверт. штепс. соед-е G-KN8-EM12X1")</f>
        <v>Прямое вверт. штепс. соед-е G-KN8-EM12X1</v>
      </c>
      <c r="C3845" s="5" t="s">
        <v>41</v>
      </c>
      <c r="D3845" s="6">
        <v>3876</v>
      </c>
      <c r="E3845" s="6">
        <v>1568</v>
      </c>
      <c r="F3845" s="9">
        <v>0.6</v>
      </c>
      <c r="H3845" s="11"/>
      <c r="I3845" s="11"/>
      <c r="J3845" s="11"/>
    </row>
    <row r="3846" spans="1:10" ht="15.75" x14ac:dyDescent="0.3">
      <c r="A3846" s="12" t="str">
        <f>HYPERLINK("https://parts-sales.ru/parts/MAN/81981836312","81.98183-6312")</f>
        <v>81.98183-6312</v>
      </c>
      <c r="B3846" s="12" t="str">
        <f>HYPERLINK("https://parts-sales.ru/parts/MAN/81981836312","Прямое вверт. штепс. соед-е G-KN8-EM22X1")</f>
        <v>Прямое вверт. штепс. соед-е G-KN8-EM22X1</v>
      </c>
      <c r="C3846" s="3" t="s">
        <v>41</v>
      </c>
      <c r="D3846" s="4">
        <v>3223.2</v>
      </c>
      <c r="E3846" s="4">
        <v>608</v>
      </c>
      <c r="F3846" s="8">
        <v>0.81</v>
      </c>
      <c r="H3846" s="11"/>
      <c r="I3846" s="11"/>
      <c r="J3846" s="11"/>
    </row>
    <row r="3847" spans="1:10" ht="15.75" x14ac:dyDescent="0.3">
      <c r="A3847" s="13" t="str">
        <f>HYPERLINK("https://parts-sales.ru/parts/MAN/81981836393","81.98183-6393")</f>
        <v>81.98183-6393</v>
      </c>
      <c r="B3847" s="13" t="str">
        <f>HYPERLINK("https://parts-sales.ru/parts/MAN/81981836393","Заглушка GZ-SN12-PA/232")</f>
        <v>Заглушка GZ-SN12-PA/232</v>
      </c>
      <c r="C3847" s="5" t="s">
        <v>41</v>
      </c>
      <c r="D3847" s="6">
        <v>2389.1999999999998</v>
      </c>
      <c r="E3847" s="6">
        <v>31</v>
      </c>
      <c r="F3847" s="9">
        <v>0.99</v>
      </c>
      <c r="H3847" s="11"/>
      <c r="I3847" s="11"/>
      <c r="J3847" s="11"/>
    </row>
    <row r="3848" spans="1:10" ht="15.75" x14ac:dyDescent="0.3">
      <c r="A3848" s="12" t="str">
        <f>HYPERLINK("https://parts-sales.ru/parts/MAN/81981836435","81.98183-6435")</f>
        <v>81.98183-6435</v>
      </c>
      <c r="B3848" s="12" t="str">
        <f>HYPERLINK("https://parts-sales.ru/parts/MAN/81981836435","Распределитель")</f>
        <v>Распределитель</v>
      </c>
      <c r="C3848" s="3" t="s">
        <v>41</v>
      </c>
      <c r="D3848" s="4">
        <v>10465.200000000001</v>
      </c>
      <c r="E3848" s="4">
        <v>2478</v>
      </c>
      <c r="F3848" s="8">
        <v>0.76</v>
      </c>
      <c r="H3848" s="11"/>
      <c r="I3848" s="11"/>
      <c r="J3848" s="11"/>
    </row>
    <row r="3849" spans="1:10" ht="15.75" x14ac:dyDescent="0.3">
      <c r="A3849" s="13" t="str">
        <f>HYPERLINK("https://parts-sales.ru/parts/MAN/81974880068","81.97488-0068")</f>
        <v>81.97488-0068</v>
      </c>
      <c r="B3849" s="13" t="str">
        <f>HYPERLINK("https://parts-sales.ru/parts/MAN/81974880068","Угольник 120X48X30")</f>
        <v>Угольник 120X48X30</v>
      </c>
      <c r="C3849" s="5" t="s">
        <v>12</v>
      </c>
      <c r="D3849" s="6">
        <v>1012.8</v>
      </c>
      <c r="E3849" s="6">
        <v>233</v>
      </c>
      <c r="F3849" s="9">
        <v>0.77</v>
      </c>
      <c r="H3849" s="11"/>
      <c r="I3849" s="11"/>
      <c r="J3849" s="11"/>
    </row>
    <row r="3850" spans="1:10" ht="15.75" x14ac:dyDescent="0.3">
      <c r="A3850" s="12" t="str">
        <f>HYPERLINK("https://parts-sales.ru/parts/MAN/81974880491","81.97488-0491")</f>
        <v>81.97488-0491</v>
      </c>
      <c r="B3850" s="12" t="str">
        <f>HYPERLINK("https://parts-sales.ru/parts/MAN/81974880491","Накладка Двухотверстный")</f>
        <v>Накладка Двухотверстный</v>
      </c>
      <c r="C3850" s="3" t="s">
        <v>12</v>
      </c>
      <c r="D3850" s="4">
        <v>871.2</v>
      </c>
      <c r="E3850" s="4">
        <v>223</v>
      </c>
      <c r="F3850" s="8">
        <v>0.74</v>
      </c>
      <c r="H3850" s="11"/>
      <c r="I3850" s="11"/>
      <c r="J3850" s="11"/>
    </row>
    <row r="3851" spans="1:10" ht="15.75" x14ac:dyDescent="0.3">
      <c r="A3851" s="13" t="str">
        <f>HYPERLINK("https://parts-sales.ru/parts/MAN/81974880647","81.97488-0647")</f>
        <v>81.97488-0647</v>
      </c>
      <c r="B3851" s="13" t="str">
        <f>HYPERLINK("https://parts-sales.ru/parts/MAN/81974880647","Накладка 3-отверстный")</f>
        <v>Накладка 3-отверстный</v>
      </c>
      <c r="C3851" s="5" t="s">
        <v>12</v>
      </c>
      <c r="D3851" s="6">
        <v>1334.4</v>
      </c>
      <c r="E3851" s="6">
        <v>38</v>
      </c>
      <c r="F3851" s="9">
        <v>0.97</v>
      </c>
      <c r="H3851" s="11"/>
      <c r="I3851" s="11"/>
      <c r="J3851" s="11"/>
    </row>
    <row r="3852" spans="1:10" ht="15.75" x14ac:dyDescent="0.3">
      <c r="A3852" s="12" t="str">
        <f>HYPERLINK("https://parts-sales.ru/parts/MAN/81974880671","81.97488-0671")</f>
        <v>81.97488-0671</v>
      </c>
      <c r="B3852" s="12" t="str">
        <f>HYPERLINK("https://parts-sales.ru/parts/MAN/81974880671","Накладка Двухотверстный")</f>
        <v>Накладка Двухотверстный</v>
      </c>
      <c r="C3852" s="3" t="s">
        <v>12</v>
      </c>
      <c r="D3852" s="4">
        <v>1912.8</v>
      </c>
      <c r="E3852" s="4">
        <v>354</v>
      </c>
      <c r="F3852" s="8">
        <v>0.81</v>
      </c>
      <c r="H3852" s="11"/>
      <c r="I3852" s="11"/>
      <c r="J3852" s="11"/>
    </row>
    <row r="3853" spans="1:10" ht="15.75" x14ac:dyDescent="0.3">
      <c r="A3853" s="13" t="str">
        <f>HYPERLINK("https://parts-sales.ru/parts/MAN/81974880716","81.97488-0716")</f>
        <v>81.97488-0716</v>
      </c>
      <c r="B3853" s="13" t="str">
        <f>HYPERLINK("https://parts-sales.ru/parts/MAN/81974880716","Накладка")</f>
        <v>Накладка</v>
      </c>
      <c r="C3853" s="5" t="s">
        <v>12</v>
      </c>
      <c r="D3853" s="6">
        <v>1561.2</v>
      </c>
      <c r="E3853" s="6">
        <v>523</v>
      </c>
      <c r="F3853" s="9">
        <v>0.67</v>
      </c>
      <c r="H3853" s="11"/>
      <c r="I3853" s="11"/>
      <c r="J3853" s="11"/>
    </row>
    <row r="3854" spans="1:10" ht="15.75" x14ac:dyDescent="0.3">
      <c r="A3854" s="12" t="str">
        <f>HYPERLINK("https://parts-sales.ru/parts/MAN/81974880754","81.97488-0754")</f>
        <v>81.97488-0754</v>
      </c>
      <c r="B3854" s="12" t="str">
        <f>HYPERLINK("https://parts-sales.ru/parts/MAN/81974880754","Рычаг")</f>
        <v>Рычаг</v>
      </c>
      <c r="C3854" s="3" t="s">
        <v>12</v>
      </c>
      <c r="D3854" s="4">
        <v>1095.5999999999999</v>
      </c>
      <c r="E3854" s="4">
        <v>253</v>
      </c>
      <c r="F3854" s="8">
        <v>0.77</v>
      </c>
      <c r="H3854" s="11"/>
      <c r="I3854" s="11"/>
      <c r="J3854" s="11"/>
    </row>
    <row r="3855" spans="1:10" ht="15.75" x14ac:dyDescent="0.3">
      <c r="A3855" s="13" t="str">
        <f>HYPERLINK("https://parts-sales.ru/parts/MAN/81974880904","81.97488-0904")</f>
        <v>81.97488-0904</v>
      </c>
      <c r="B3855" s="13" t="str">
        <f>HYPERLINK("https://parts-sales.ru/parts/MAN/81974880904","Двойной угол")</f>
        <v>Двойной угол</v>
      </c>
      <c r="C3855" s="5" t="s">
        <v>12</v>
      </c>
      <c r="D3855" s="6">
        <v>4318.8</v>
      </c>
      <c r="E3855" s="6">
        <v>828</v>
      </c>
      <c r="F3855" s="9">
        <v>0.81</v>
      </c>
      <c r="H3855" s="11"/>
      <c r="I3855" s="11"/>
      <c r="J3855" s="11"/>
    </row>
    <row r="3856" spans="1:10" ht="15.75" x14ac:dyDescent="0.3">
      <c r="A3856" s="12" t="str">
        <f>HYPERLINK("https://parts-sales.ru/parts/MAN/81974880990","81.97488-0990")</f>
        <v>81.97488-0990</v>
      </c>
      <c r="B3856" s="12" t="str">
        <f>HYPERLINK("https://parts-sales.ru/parts/MAN/81974880990","Накладка")</f>
        <v>Накладка</v>
      </c>
      <c r="C3856" s="3" t="s">
        <v>12</v>
      </c>
      <c r="D3856" s="4">
        <v>656.4</v>
      </c>
      <c r="E3856" s="4">
        <v>30</v>
      </c>
      <c r="F3856" s="8">
        <v>0.95</v>
      </c>
      <c r="H3856" s="11"/>
      <c r="I3856" s="11"/>
      <c r="J3856" s="11"/>
    </row>
    <row r="3857" spans="1:10" ht="15.75" x14ac:dyDescent="0.3">
      <c r="A3857" s="13" t="str">
        <f>HYPERLINK("https://parts-sales.ru/parts/MAN/81976010757","81.97601-0757")</f>
        <v>81.97601-0757</v>
      </c>
      <c r="B3857" s="13" t="str">
        <f>HYPERLINK("https://parts-sales.ru/parts/MAN/81976010757","Прижимная пружина")</f>
        <v>Прижимная пружина</v>
      </c>
      <c r="C3857" s="5" t="s">
        <v>12</v>
      </c>
      <c r="D3857" s="6">
        <v>344.4</v>
      </c>
      <c r="E3857" s="6">
        <v>82</v>
      </c>
      <c r="F3857" s="9">
        <v>0.76</v>
      </c>
      <c r="H3857" s="11"/>
      <c r="I3857" s="11"/>
      <c r="J3857" s="11"/>
    </row>
    <row r="3858" spans="1:10" ht="15.75" x14ac:dyDescent="0.3">
      <c r="A3858" s="12" t="str">
        <f>HYPERLINK("https://parts-sales.ru/parts/MAN/81976010758","81.97601-0758")</f>
        <v>81.97601-0758</v>
      </c>
      <c r="B3858" s="12" t="str">
        <f>HYPERLINK("https://parts-sales.ru/parts/MAN/81976010758","Прижимная пружина")</f>
        <v>Прижимная пружина</v>
      </c>
      <c r="C3858" s="3" t="s">
        <v>12</v>
      </c>
      <c r="D3858" s="4">
        <v>344.4</v>
      </c>
      <c r="E3858" s="4">
        <v>81</v>
      </c>
      <c r="F3858" s="8">
        <v>0.76</v>
      </c>
      <c r="H3858" s="11"/>
      <c r="I3858" s="11"/>
      <c r="J3858" s="11"/>
    </row>
    <row r="3859" spans="1:10" ht="15.75" x14ac:dyDescent="0.3">
      <c r="A3859" s="13" t="str">
        <f>HYPERLINK("https://parts-sales.ru/parts/MAN/81976010895","81.97601-0895")</f>
        <v>81.97601-0895</v>
      </c>
      <c r="B3859" s="13" t="str">
        <f>HYPERLINK("https://parts-sales.ru/parts/MAN/81976010895","Прижимная пружина")</f>
        <v>Прижимная пружина</v>
      </c>
      <c r="C3859" s="5" t="s">
        <v>12</v>
      </c>
      <c r="D3859" s="6">
        <v>344.4</v>
      </c>
      <c r="E3859" s="6">
        <v>122</v>
      </c>
      <c r="F3859" s="9">
        <v>0.65</v>
      </c>
      <c r="H3859" s="11"/>
      <c r="I3859" s="11"/>
      <c r="J3859" s="11"/>
    </row>
    <row r="3860" spans="1:10" ht="15.75" x14ac:dyDescent="0.3">
      <c r="A3860" s="12" t="str">
        <f>HYPERLINK("https://parts-sales.ru/parts/MAN/81976020809","81.97602-0809")</f>
        <v>81.97602-0809</v>
      </c>
      <c r="B3860" s="12" t="str">
        <f>HYPERLINK("https://parts-sales.ru/parts/MAN/81976020809","Прижимная пружина")</f>
        <v>Прижимная пружина</v>
      </c>
      <c r="C3860" s="3" t="s">
        <v>12</v>
      </c>
      <c r="D3860" s="4">
        <v>951.6</v>
      </c>
      <c r="E3860" s="4">
        <v>223</v>
      </c>
      <c r="F3860" s="8">
        <v>0.77</v>
      </c>
      <c r="H3860" s="11"/>
      <c r="I3860" s="11"/>
      <c r="J3860" s="11"/>
    </row>
    <row r="3861" spans="1:10" ht="15.75" x14ac:dyDescent="0.3">
      <c r="A3861" s="13" t="str">
        <f>HYPERLINK("https://parts-sales.ru/parts/MAN/81976020908","81.97602-0908")</f>
        <v>81.97602-0908</v>
      </c>
      <c r="B3861" s="13" t="str">
        <f>HYPERLINK("https://parts-sales.ru/parts/MAN/81976020908","Прижимная пружина 2,75X22,5X174,2-FST")</f>
        <v>Прижимная пружина 2,75X22,5X174,2-FST</v>
      </c>
      <c r="C3861" s="5" t="s">
        <v>12</v>
      </c>
      <c r="D3861" s="6">
        <v>1266</v>
      </c>
      <c r="E3861" s="6">
        <v>327</v>
      </c>
      <c r="F3861" s="9">
        <v>0.74</v>
      </c>
      <c r="H3861" s="11"/>
      <c r="I3861" s="11"/>
      <c r="J3861" s="11"/>
    </row>
    <row r="3862" spans="1:10" ht="15.75" x14ac:dyDescent="0.3">
      <c r="A3862" s="12" t="str">
        <f>HYPERLINK("https://parts-sales.ru/parts/MAN/82414016016","82.41401-6016")</f>
        <v>82.41401-6016</v>
      </c>
      <c r="B3862" s="12" t="str">
        <f>HYPERLINK("https://parts-sales.ru/parts/MAN/82414016016","Упорный буфер")</f>
        <v>Упорный буфер</v>
      </c>
      <c r="C3862" s="3" t="s">
        <v>32</v>
      </c>
      <c r="D3862" s="4">
        <v>6867.6</v>
      </c>
      <c r="E3862" s="4">
        <v>682</v>
      </c>
      <c r="F3862" s="8">
        <v>0.9</v>
      </c>
      <c r="H3862" s="11"/>
      <c r="I3862" s="11"/>
      <c r="J3862" s="11"/>
    </row>
    <row r="3863" spans="1:10" ht="15.75" x14ac:dyDescent="0.3">
      <c r="A3863" s="13" t="str">
        <f>HYPERLINK("https://parts-sales.ru/parts/MAN/82416105145","82.41610-5145")</f>
        <v>82.41610-5145</v>
      </c>
      <c r="B3863" s="13" t="str">
        <f>HYPERLINK("https://parts-sales.ru/parts/MAN/82416105145","Держатель Амортизатор")</f>
        <v>Держатель Амортизатор</v>
      </c>
      <c r="C3863" s="5" t="s">
        <v>32</v>
      </c>
      <c r="D3863" s="6">
        <v>108940.8</v>
      </c>
      <c r="E3863" s="6">
        <v>20984</v>
      </c>
      <c r="F3863" s="9">
        <v>0.81</v>
      </c>
      <c r="H3863" s="11"/>
      <c r="I3863" s="11"/>
      <c r="J3863" s="11"/>
    </row>
    <row r="3864" spans="1:10" ht="15.75" x14ac:dyDescent="0.3">
      <c r="A3864" s="12" t="str">
        <f>HYPERLINK("https://parts-sales.ru/parts/MAN/82418010095","82.41801-0095")</f>
        <v>82.41801-0095</v>
      </c>
      <c r="B3864" s="12" t="str">
        <f>HYPERLINK("https://parts-sales.ru/parts/MAN/82418010095","Промежут. держатель")</f>
        <v>Промежут. держатель</v>
      </c>
      <c r="C3864" s="3" t="s">
        <v>32</v>
      </c>
      <c r="D3864" s="4">
        <v>11611.2</v>
      </c>
      <c r="E3864" s="4">
        <v>298</v>
      </c>
      <c r="F3864" s="8">
        <v>0.97</v>
      </c>
      <c r="H3864" s="11"/>
      <c r="I3864" s="11"/>
      <c r="J3864" s="11"/>
    </row>
    <row r="3865" spans="1:10" ht="15.75" x14ac:dyDescent="0.3">
      <c r="A3865" s="13" t="str">
        <f>HYPERLINK("https://parts-sales.ru/parts/MAN/81976020966","81.97602-0966")</f>
        <v>81.97602-0966</v>
      </c>
      <c r="B3865" s="13" t="str">
        <f>HYPERLINK("https://parts-sales.ru/parts/MAN/81976020966","Прижимная пружина")</f>
        <v>Прижимная пружина</v>
      </c>
      <c r="C3865" s="5" t="s">
        <v>12</v>
      </c>
      <c r="D3865" s="6">
        <v>2677.2</v>
      </c>
      <c r="E3865" s="6">
        <v>706</v>
      </c>
      <c r="F3865" s="9">
        <v>0.74</v>
      </c>
      <c r="H3865" s="11"/>
      <c r="I3865" s="11"/>
      <c r="J3865" s="11"/>
    </row>
    <row r="3866" spans="1:10" ht="15.75" x14ac:dyDescent="0.3">
      <c r="A3866" s="12" t="str">
        <f>HYPERLINK("https://parts-sales.ru/parts/MAN/81976020969","81.97602-0969")</f>
        <v>81.97602-0969</v>
      </c>
      <c r="B3866" s="12" t="str">
        <f>HYPERLINK("https://parts-sales.ru/parts/MAN/81976020969","Прижимная пружина")</f>
        <v>Прижимная пружина</v>
      </c>
      <c r="C3866" s="3" t="s">
        <v>12</v>
      </c>
      <c r="D3866" s="4">
        <v>339.6</v>
      </c>
      <c r="E3866" s="4">
        <v>85</v>
      </c>
      <c r="F3866" s="8">
        <v>0.75</v>
      </c>
      <c r="H3866" s="11"/>
      <c r="I3866" s="11"/>
      <c r="J3866" s="11"/>
    </row>
    <row r="3867" spans="1:10" ht="15.75" x14ac:dyDescent="0.3">
      <c r="A3867" s="13" t="str">
        <f>HYPERLINK("https://parts-sales.ru/parts/MAN/81976100265","81.97610-0265")</f>
        <v>81.97610-0265</v>
      </c>
      <c r="B3867" s="13" t="str">
        <f>HYPERLINK("https://parts-sales.ru/parts/MAN/81976100265","Пружина растяжения 4X22X246-FST-ZNPHR5F")</f>
        <v>Пружина растяжения 4X22X246-FST-ZNPHR5F</v>
      </c>
      <c r="C3867" s="5" t="s">
        <v>12</v>
      </c>
      <c r="D3867" s="6">
        <v>3445.2</v>
      </c>
      <c r="E3867" s="6">
        <v>804</v>
      </c>
      <c r="F3867" s="9">
        <v>0.77</v>
      </c>
      <c r="H3867" s="11"/>
      <c r="I3867" s="11"/>
      <c r="J3867" s="11"/>
    </row>
    <row r="3868" spans="1:10" ht="15.75" x14ac:dyDescent="0.3">
      <c r="A3868" s="12" t="str">
        <f>HYPERLINK("https://parts-sales.ru/parts/MAN/81976100317","81.97610-0317")</f>
        <v>81.97610-0317</v>
      </c>
      <c r="B3868" s="12" t="str">
        <f>HYPERLINK("https://parts-sales.ru/parts/MAN/81976100317","Пружина растяжения 4X22X242-FST")</f>
        <v>Пружина растяжения 4X22X242-FST</v>
      </c>
      <c r="C3868" s="3" t="s">
        <v>12</v>
      </c>
      <c r="D3868" s="4">
        <v>3516</v>
      </c>
      <c r="E3868" s="4">
        <v>1094</v>
      </c>
      <c r="F3868" s="8">
        <v>0.69</v>
      </c>
      <c r="H3868" s="11"/>
      <c r="I3868" s="11"/>
      <c r="J3868" s="11"/>
    </row>
    <row r="3869" spans="1:10" ht="15.75" x14ac:dyDescent="0.3">
      <c r="A3869" s="13" t="str">
        <f>HYPERLINK("https://parts-sales.ru/parts/MAN/81976400286","81.97640-0286")</f>
        <v>81.97640-0286</v>
      </c>
      <c r="B3869" s="13" t="str">
        <f>HYPERLINK("https://parts-sales.ru/parts/MAN/81976400286","Крепежный пружинный зажим")</f>
        <v>Крепежный пружинный зажим</v>
      </c>
      <c r="C3869" s="5" t="s">
        <v>12</v>
      </c>
      <c r="D3869" s="6">
        <v>685.2</v>
      </c>
      <c r="E3869" s="6">
        <v>150</v>
      </c>
      <c r="F3869" s="9">
        <v>0.78</v>
      </c>
      <c r="H3869" s="11"/>
      <c r="I3869" s="11"/>
      <c r="J3869" s="11"/>
    </row>
    <row r="3870" spans="1:10" ht="15.75" x14ac:dyDescent="0.3">
      <c r="A3870" s="12" t="str">
        <f>HYPERLINK("https://parts-sales.ru/parts/MAN/81976400290","81.97640-0290")</f>
        <v>81.97640-0290</v>
      </c>
      <c r="B3870" s="12" t="str">
        <f>HYPERLINK("https://parts-sales.ru/parts/MAN/81976400290","Прижимная пружина")</f>
        <v>Прижимная пружина</v>
      </c>
      <c r="C3870" s="3" t="s">
        <v>12</v>
      </c>
      <c r="D3870" s="4">
        <v>946.8</v>
      </c>
      <c r="E3870" s="4">
        <v>18</v>
      </c>
      <c r="F3870" s="8">
        <v>0.98</v>
      </c>
      <c r="H3870" s="11"/>
      <c r="I3870" s="11"/>
      <c r="J3870" s="11"/>
    </row>
    <row r="3871" spans="1:10" ht="15.75" x14ac:dyDescent="0.3">
      <c r="A3871" s="13" t="str">
        <f>HYPERLINK("https://parts-sales.ru/parts/MAN/81976510170","81.97651-0170")</f>
        <v>81.97651-0170</v>
      </c>
      <c r="B3871" s="13" t="str">
        <f>HYPERLINK("https://parts-sales.ru/parts/MAN/81976510170","Тарельчатая пружина")</f>
        <v>Тарельчатая пружина</v>
      </c>
      <c r="C3871" s="5" t="s">
        <v>12</v>
      </c>
      <c r="D3871" s="6">
        <v>2523.6</v>
      </c>
      <c r="E3871" s="6">
        <v>560</v>
      </c>
      <c r="F3871" s="9">
        <v>0.78</v>
      </c>
      <c r="H3871" s="11"/>
      <c r="I3871" s="11"/>
      <c r="J3871" s="11"/>
    </row>
    <row r="3872" spans="1:10" ht="15.75" x14ac:dyDescent="0.3">
      <c r="A3872" s="12" t="str">
        <f>HYPERLINK("https://parts-sales.ru/parts/MAN/81978010935","81.97801-0935")</f>
        <v>81.97801-0935</v>
      </c>
      <c r="B3872" s="12" t="str">
        <f>HYPERLINK("https://parts-sales.ru/parts/MAN/81978010935","Самоприклеивающаяся табличка 90X33/KST-S")</f>
        <v>Самоприклеивающаяся табличка 90X33/KST-S</v>
      </c>
      <c r="C3872" s="3" t="s">
        <v>12</v>
      </c>
      <c r="D3872" s="4">
        <v>715.2</v>
      </c>
      <c r="E3872" s="4">
        <v>2</v>
      </c>
      <c r="F3872" s="8">
        <v>1</v>
      </c>
      <c r="H3872" s="11"/>
      <c r="I3872" s="11"/>
      <c r="J3872" s="11"/>
    </row>
    <row r="3873" spans="1:10" ht="15.75" x14ac:dyDescent="0.3">
      <c r="A3873" s="13" t="str">
        <f>HYPERLINK("https://parts-sales.ru/parts/MAN/81978012630","81.97801-2630")</f>
        <v>81.97801-2630</v>
      </c>
      <c r="B3873" s="13" t="str">
        <f>HYPERLINK("https://parts-sales.ru/parts/MAN/81978012630","Самоприклеивающаяся табличка")</f>
        <v>Самоприклеивающаяся табличка</v>
      </c>
      <c r="C3873" s="5" t="s">
        <v>12</v>
      </c>
      <c r="D3873" s="6">
        <v>63.6</v>
      </c>
      <c r="E3873" s="6">
        <v>3</v>
      </c>
      <c r="F3873" s="9">
        <v>0.95</v>
      </c>
      <c r="H3873" s="11"/>
      <c r="I3873" s="11"/>
      <c r="J3873" s="11"/>
    </row>
    <row r="3874" spans="1:10" ht="15.75" x14ac:dyDescent="0.3">
      <c r="A3874" s="12" t="str">
        <f>HYPERLINK("https://parts-sales.ru/parts/MAN/81978012810","81.97801-2810")</f>
        <v>81.97801-2810</v>
      </c>
      <c r="B3874" s="12" t="str">
        <f>HYPERLINK("https://parts-sales.ru/parts/MAN/81978012810","Табличка")</f>
        <v>Табличка</v>
      </c>
      <c r="C3874" s="3" t="s">
        <v>12</v>
      </c>
      <c r="D3874" s="4">
        <v>1172.4000000000001</v>
      </c>
      <c r="E3874" s="4">
        <v>311</v>
      </c>
      <c r="F3874" s="8">
        <v>0.73</v>
      </c>
      <c r="H3874" s="11"/>
      <c r="I3874" s="11"/>
      <c r="J3874" s="11"/>
    </row>
    <row r="3875" spans="1:10" ht="15.75" x14ac:dyDescent="0.3">
      <c r="A3875" s="13" t="str">
        <f>HYPERLINK("https://parts-sales.ru/parts/MAN/83091956001","83.09195-6001")</f>
        <v>83.09195-6001</v>
      </c>
      <c r="B3875" s="13" t="str">
        <f>HYPERLINK("https://parts-sales.ru/parts/MAN/83091956001","Усилительный ключ SW=50/60")</f>
        <v>Усилительный ключ SW=50/60</v>
      </c>
      <c r="C3875" s="5" t="s">
        <v>11</v>
      </c>
      <c r="D3875" s="6">
        <v>283902</v>
      </c>
      <c r="E3875" s="6">
        <v>165179</v>
      </c>
      <c r="F3875" s="9">
        <v>0.42</v>
      </c>
      <c r="H3875" s="11"/>
      <c r="I3875" s="11"/>
      <c r="J3875" s="11"/>
    </row>
    <row r="3876" spans="1:10" ht="15.75" x14ac:dyDescent="0.3">
      <c r="A3876" s="12" t="str">
        <f>HYPERLINK("https://parts-sales.ru/parts/MAN/83252016189","83.25201-6189")</f>
        <v>83.25201-6189</v>
      </c>
      <c r="B3876" s="12" t="str">
        <f>HYPERLINK("https://parts-sales.ru/parts/MAN/83252016189","Внутренний светильник подсветка салона")</f>
        <v>Внутренний светильник подсветка салона</v>
      </c>
      <c r="C3876" s="3" t="s">
        <v>16</v>
      </c>
      <c r="D3876" s="4">
        <v>8337.89</v>
      </c>
      <c r="E3876" s="4">
        <v>3482</v>
      </c>
      <c r="F3876" s="8">
        <v>0.57999999999999996</v>
      </c>
      <c r="H3876" s="11"/>
      <c r="I3876" s="11"/>
      <c r="J3876" s="11"/>
    </row>
    <row r="3877" spans="1:10" ht="15.75" x14ac:dyDescent="0.3">
      <c r="A3877" s="13" t="str">
        <f>HYPERLINK("https://parts-sales.ru/parts/MAN/83253206517","83.25320-6517")</f>
        <v>83.25320-6517</v>
      </c>
      <c r="B3877" s="13" t="str">
        <f>HYPERLINK("https://parts-sales.ru/parts/MAN/83253206517","Указатель поворота световой диод")</f>
        <v>Указатель поворота световой диод</v>
      </c>
      <c r="C3877" s="5" t="s">
        <v>16</v>
      </c>
      <c r="D3877" s="6">
        <v>48812.09</v>
      </c>
      <c r="E3877" s="6">
        <v>20402</v>
      </c>
      <c r="F3877" s="9">
        <v>0.57999999999999996</v>
      </c>
      <c r="H3877" s="11"/>
      <c r="I3877" s="11"/>
      <c r="J3877" s="11"/>
    </row>
    <row r="3878" spans="1:10" ht="15.75" x14ac:dyDescent="0.3">
      <c r="A3878" s="12" t="str">
        <f>HYPERLINK("https://parts-sales.ru/parts/MAN/83254136640","83.25413-6640")</f>
        <v>83.25413-6640</v>
      </c>
      <c r="B3878" s="12" t="str">
        <f>HYPERLINK("https://parts-sales.ru/parts/MAN/83254136640","Кабельная линия Управление дверями")</f>
        <v>Кабельная линия Управление дверями</v>
      </c>
      <c r="C3878" s="3" t="s">
        <v>16</v>
      </c>
      <c r="D3878" s="4">
        <v>42085.2</v>
      </c>
      <c r="E3878" s="4">
        <v>12821</v>
      </c>
      <c r="F3878" s="8">
        <v>0.7</v>
      </c>
      <c r="H3878" s="11"/>
      <c r="I3878" s="11"/>
      <c r="J3878" s="11"/>
    </row>
    <row r="3879" spans="1:10" ht="15.75" x14ac:dyDescent="0.3">
      <c r="A3879" s="13" t="str">
        <f>HYPERLINK("https://parts-sales.ru/parts/MAN/83255040012","83.25504-0012")</f>
        <v>83.25504-0012</v>
      </c>
      <c r="B3879" s="13" t="str">
        <f>HYPERLINK("https://parts-sales.ru/parts/MAN/83255040012","Переключатель CAN")</f>
        <v>Переключатель CAN</v>
      </c>
      <c r="C3879" s="5" t="s">
        <v>16</v>
      </c>
      <c r="D3879" s="6">
        <v>31286.66</v>
      </c>
      <c r="E3879" s="6">
        <v>13068</v>
      </c>
      <c r="F3879" s="9">
        <v>0.57999999999999996</v>
      </c>
      <c r="H3879" s="11"/>
      <c r="I3879" s="11"/>
      <c r="J3879" s="11"/>
    </row>
    <row r="3880" spans="1:10" ht="15.75" x14ac:dyDescent="0.3">
      <c r="A3880" s="12" t="str">
        <f>HYPERLINK("https://parts-sales.ru/parts/MAN/83259066000","83.25906-6000")</f>
        <v>83.25906-6000</v>
      </c>
      <c r="B3880" s="12" t="str">
        <f>HYPERLINK("https://parts-sales.ru/parts/MAN/83259066000","Зуммер Движение задним ходом")</f>
        <v>Зуммер Движение задним ходом</v>
      </c>
      <c r="C3880" s="3" t="s">
        <v>16</v>
      </c>
      <c r="D3880" s="4">
        <v>25962</v>
      </c>
      <c r="E3880" s="4">
        <v>6368</v>
      </c>
      <c r="F3880" s="8">
        <v>0.75</v>
      </c>
      <c r="H3880" s="11"/>
      <c r="I3880" s="11"/>
      <c r="J3880" s="11"/>
    </row>
    <row r="3881" spans="1:10" ht="15.75" x14ac:dyDescent="0.3">
      <c r="A3881" s="13" t="str">
        <f>HYPERLINK("https://parts-sales.ru/parts/MAN/83259350006","83.25935-0006")</f>
        <v>83.25935-0006</v>
      </c>
      <c r="B3881" s="13" t="str">
        <f>HYPERLINK("https://parts-sales.ru/parts/MAN/83259350006","Прибор управления Видеосистема")</f>
        <v>Прибор управления Видеосистема</v>
      </c>
      <c r="C3881" s="5" t="s">
        <v>16</v>
      </c>
      <c r="D3881" s="6">
        <v>85659.47</v>
      </c>
      <c r="E3881" s="6">
        <v>27072</v>
      </c>
      <c r="F3881" s="9">
        <v>0.68</v>
      </c>
      <c r="H3881" s="11"/>
      <c r="I3881" s="11"/>
      <c r="J3881" s="11"/>
    </row>
    <row r="3882" spans="1:10" ht="15.75" x14ac:dyDescent="0.3">
      <c r="A3882" s="12" t="str">
        <f>HYPERLINK("https://parts-sales.ru/parts/MAN/83282106578","83.28210-6578")</f>
        <v>83.28210-6578</v>
      </c>
      <c r="B3882" s="12" t="s">
        <v>66</v>
      </c>
      <c r="C3882" s="3" t="s">
        <v>16</v>
      </c>
      <c r="D3882" s="4">
        <v>133507.20000000001</v>
      </c>
      <c r="E3882" s="4">
        <v>58101</v>
      </c>
      <c r="F3882" s="8">
        <v>0.56000000000000005</v>
      </c>
      <c r="H3882" s="11"/>
      <c r="I3882" s="11"/>
      <c r="J3882" s="11"/>
    </row>
    <row r="3883" spans="1:10" ht="15.75" x14ac:dyDescent="0.3">
      <c r="A3883" s="13" t="str">
        <f>HYPERLINK("https://parts-sales.ru/parts/MAN/83637006520","83.63700-6520")</f>
        <v>83.63700-6520</v>
      </c>
      <c r="B3883" s="13" t="str">
        <f>HYPERLINK("https://parts-sales.ru/parts/MAN/83637006520","Внешнее зеркало")</f>
        <v>Внешнее зеркало</v>
      </c>
      <c r="C3883" s="5" t="s">
        <v>16</v>
      </c>
      <c r="D3883" s="6">
        <v>59210.53</v>
      </c>
      <c r="E3883" s="6">
        <v>17363</v>
      </c>
      <c r="F3883" s="9">
        <v>0.71</v>
      </c>
      <c r="H3883" s="11"/>
      <c r="I3883" s="11"/>
      <c r="J3883" s="11"/>
    </row>
    <row r="3884" spans="1:10" ht="15.75" x14ac:dyDescent="0.3">
      <c r="A3884" s="12" t="str">
        <f>HYPERLINK("https://parts-sales.ru/parts/MAN/83731205530","83.73120-5530")</f>
        <v>83.73120-5530</v>
      </c>
      <c r="B3884" s="12" t="str">
        <f>HYPERLINK("https://parts-sales.ru/parts/MAN/83731205530","Рама потолочного люка")</f>
        <v>Рама потолочного люка</v>
      </c>
      <c r="C3884" s="3" t="s">
        <v>16</v>
      </c>
      <c r="D3884" s="4">
        <v>23856.98</v>
      </c>
      <c r="E3884" s="4">
        <v>11134</v>
      </c>
      <c r="F3884" s="8">
        <v>0.53</v>
      </c>
      <c r="H3884" s="11"/>
      <c r="I3884" s="11"/>
      <c r="J3884" s="11"/>
    </row>
    <row r="3885" spans="1:10" ht="15.75" x14ac:dyDescent="0.3">
      <c r="A3885" s="13" t="str">
        <f>HYPERLINK("https://parts-sales.ru/parts/MAN/83732015530","83.73201-5530")</f>
        <v>83.73201-5530</v>
      </c>
      <c r="B3885" s="13" t="str">
        <f>HYPERLINK("https://parts-sales.ru/parts/MAN/83732015530","Козырек в перед. части кузова")</f>
        <v>Козырек в перед. части кузова</v>
      </c>
      <c r="C3885" s="5" t="s">
        <v>16</v>
      </c>
      <c r="D3885" s="6">
        <v>99225.600000000006</v>
      </c>
      <c r="E3885" s="6">
        <v>30227</v>
      </c>
      <c r="F3885" s="9">
        <v>0.7</v>
      </c>
      <c r="H3885" s="11"/>
      <c r="I3885" s="11"/>
      <c r="J3885" s="11"/>
    </row>
    <row r="3886" spans="1:10" ht="15.75" x14ac:dyDescent="0.3">
      <c r="A3886" s="12" t="str">
        <f>HYPERLINK("https://parts-sales.ru/parts/MAN/83732016507","83.73201-6507")</f>
        <v>83.73201-6507</v>
      </c>
      <c r="B3886" s="12" t="str">
        <f>HYPERLINK("https://parts-sales.ru/parts/MAN/83732016507","Крышка в передней части кузова")</f>
        <v>Крышка в передней части кузова</v>
      </c>
      <c r="C3886" s="3" t="s">
        <v>16</v>
      </c>
      <c r="D3886" s="4">
        <v>113898</v>
      </c>
      <c r="E3886" s="4">
        <v>17628</v>
      </c>
      <c r="F3886" s="8">
        <v>0.85</v>
      </c>
      <c r="H3886" s="11"/>
      <c r="I3886" s="11"/>
      <c r="J3886" s="11"/>
    </row>
    <row r="3887" spans="1:10" ht="15.75" x14ac:dyDescent="0.3">
      <c r="A3887" s="13" t="str">
        <f>HYPERLINK("https://parts-sales.ru/parts/MAN/83732016518","83.73201-6518")</f>
        <v>83.73201-6518</v>
      </c>
      <c r="B3887" s="13" t="str">
        <f>HYPERLINK("https://parts-sales.ru/parts/MAN/83732016518","Передняя средняя дверца")</f>
        <v>Передняя средняя дверца</v>
      </c>
      <c r="C3887" s="5" t="s">
        <v>16</v>
      </c>
      <c r="D3887" s="6">
        <v>115005.6</v>
      </c>
      <c r="E3887" s="6">
        <v>35035</v>
      </c>
      <c r="F3887" s="9">
        <v>0.7</v>
      </c>
      <c r="H3887" s="11"/>
      <c r="I3887" s="11"/>
      <c r="J3887" s="11"/>
    </row>
    <row r="3888" spans="1:10" ht="15.75" x14ac:dyDescent="0.3">
      <c r="A3888" s="12" t="str">
        <f>HYPERLINK("https://parts-sales.ru/parts/MAN/83732035513","83.73203-5513")</f>
        <v>83.73203-5513</v>
      </c>
      <c r="B3888" s="12" t="str">
        <f>HYPERLINK("https://parts-sales.ru/parts/MAN/83732035513","Задник Середина")</f>
        <v>Задник Середина</v>
      </c>
      <c r="C3888" s="3" t="s">
        <v>16</v>
      </c>
      <c r="D3888" s="4">
        <v>46978.8</v>
      </c>
      <c r="E3888" s="4">
        <v>14311</v>
      </c>
      <c r="F3888" s="8">
        <v>0.7</v>
      </c>
      <c r="H3888" s="11"/>
      <c r="I3888" s="11"/>
      <c r="J3888" s="11"/>
    </row>
    <row r="3889" spans="1:10" ht="15.75" x14ac:dyDescent="0.3">
      <c r="A3889" s="13" t="str">
        <f>HYPERLINK("https://parts-sales.ru/parts/MAN/83737014685","83.73701-4685")</f>
        <v>83.73701-4685</v>
      </c>
      <c r="B3889" s="13" t="str">
        <f>HYPERLINK("https://parts-sales.ru/parts/MAN/83737014685","Ящик")</f>
        <v>Ящик</v>
      </c>
      <c r="C3889" s="5" t="s">
        <v>16</v>
      </c>
      <c r="D3889" s="6">
        <v>17455.259999999998</v>
      </c>
      <c r="E3889" s="6">
        <v>5118</v>
      </c>
      <c r="F3889" s="9">
        <v>0.71</v>
      </c>
      <c r="H3889" s="11"/>
      <c r="I3889" s="11"/>
      <c r="J3889" s="11"/>
    </row>
    <row r="3890" spans="1:10" ht="15.75" x14ac:dyDescent="0.3">
      <c r="A3890" s="12" t="str">
        <f>HYPERLINK("https://parts-sales.ru/parts/MAN/83737016507","83.73701-6507")</f>
        <v>83.73701-6507</v>
      </c>
      <c r="B3890" s="12" t="str">
        <f>HYPERLINK("https://parts-sales.ru/parts/MAN/83737016507","Салазки аккумулятор.батареи")</f>
        <v>Салазки аккумулятор.батареи</v>
      </c>
      <c r="C3890" s="3" t="s">
        <v>16</v>
      </c>
      <c r="D3890" s="4">
        <v>55166.9</v>
      </c>
      <c r="E3890" s="4">
        <v>25744</v>
      </c>
      <c r="F3890" s="8">
        <v>0.53</v>
      </c>
      <c r="H3890" s="11"/>
      <c r="I3890" s="11"/>
      <c r="J3890" s="11"/>
    </row>
    <row r="3891" spans="1:10" ht="15.75" x14ac:dyDescent="0.3">
      <c r="A3891" s="13" t="str">
        <f>HYPERLINK("https://parts-sales.ru/parts/MAN/83743266518","83.74326-6518")</f>
        <v>83.74326-6518</v>
      </c>
      <c r="B3891" s="13" t="str">
        <f>HYPERLINK("https://parts-sales.ru/parts/MAN/83743266518","Привод шпинделя")</f>
        <v>Привод шпинделя</v>
      </c>
      <c r="C3891" s="5" t="s">
        <v>16</v>
      </c>
      <c r="D3891" s="6">
        <v>161671.20000000001</v>
      </c>
      <c r="E3891" s="6">
        <v>49251</v>
      </c>
      <c r="F3891" s="9">
        <v>0.7</v>
      </c>
      <c r="H3891" s="11"/>
      <c r="I3891" s="11"/>
      <c r="J3891" s="11"/>
    </row>
    <row r="3892" spans="1:10" ht="15.75" x14ac:dyDescent="0.3">
      <c r="A3892" s="12" t="str">
        <f>HYPERLINK("https://parts-sales.ru/parts/MAN/83744014053","83.74401-4053")</f>
        <v>83.74401-4053</v>
      </c>
      <c r="B3892" s="12" t="str">
        <f>HYPERLINK("https://parts-sales.ru/parts/MAN/83744014053","Проем двери")</f>
        <v>Проем двери</v>
      </c>
      <c r="C3892" s="3" t="s">
        <v>16</v>
      </c>
      <c r="D3892" s="4">
        <v>167462.39999999999</v>
      </c>
      <c r="E3892" s="4">
        <v>37295</v>
      </c>
      <c r="F3892" s="8">
        <v>0.78</v>
      </c>
      <c r="H3892" s="11"/>
      <c r="I3892" s="11"/>
      <c r="J3892" s="11"/>
    </row>
    <row r="3893" spans="1:10" ht="15.75" x14ac:dyDescent="0.3">
      <c r="A3893" s="13" t="str">
        <f>HYPERLINK("https://parts-sales.ru/parts/MAN/83744014054","83.74401-4054")</f>
        <v>83.74401-4054</v>
      </c>
      <c r="B3893" s="13" t="str">
        <f>HYPERLINK("https://parts-sales.ru/parts/MAN/83744014054","Проем двери справа")</f>
        <v>Проем двери справа</v>
      </c>
      <c r="C3893" s="5" t="s">
        <v>16</v>
      </c>
      <c r="D3893" s="6">
        <v>167462.39999999999</v>
      </c>
      <c r="E3893" s="6">
        <v>37295</v>
      </c>
      <c r="F3893" s="9">
        <v>0.78</v>
      </c>
      <c r="H3893" s="11"/>
      <c r="I3893" s="11"/>
      <c r="J3893" s="11"/>
    </row>
    <row r="3894" spans="1:10" ht="15.75" x14ac:dyDescent="0.3">
      <c r="A3894" s="12" t="str">
        <f>HYPERLINK("https://parts-sales.ru/parts/MAN/83746016550","83.74601-6550")</f>
        <v>83.74601-6550</v>
      </c>
      <c r="B3894" s="12" t="str">
        <f>HYPERLINK("https://parts-sales.ru/parts/MAN/83746016550","Дроссельная заслонка")</f>
        <v>Дроссельная заслонка</v>
      </c>
      <c r="C3894" s="3" t="s">
        <v>16</v>
      </c>
      <c r="D3894" s="4">
        <v>248332.1</v>
      </c>
      <c r="E3894" s="4">
        <v>105184</v>
      </c>
      <c r="F3894" s="8">
        <v>0.57999999999999996</v>
      </c>
      <c r="H3894" s="11"/>
      <c r="I3894" s="11"/>
      <c r="J3894" s="11"/>
    </row>
    <row r="3895" spans="1:10" ht="15.75" x14ac:dyDescent="0.3">
      <c r="A3895" s="13" t="str">
        <f>HYPERLINK("https://parts-sales.ru/parts/MAN/83748005011","83.74800-5011")</f>
        <v>83.74800-5011</v>
      </c>
      <c r="B3895" s="13" t="str">
        <f>HYPERLINK("https://parts-sales.ru/parts/MAN/83748005011","Откид. крышка для обслуживания")</f>
        <v>Откид. крышка для обслуживания</v>
      </c>
      <c r="C3895" s="5" t="s">
        <v>16</v>
      </c>
      <c r="D3895" s="6">
        <v>101904</v>
      </c>
      <c r="E3895" s="6">
        <v>31044</v>
      </c>
      <c r="F3895" s="9">
        <v>0.7</v>
      </c>
      <c r="H3895" s="11"/>
      <c r="I3895" s="11"/>
      <c r="J3895" s="11"/>
    </row>
    <row r="3896" spans="1:10" ht="15.75" x14ac:dyDescent="0.3">
      <c r="A3896" s="12" t="str">
        <f>HYPERLINK("https://parts-sales.ru/parts/MAN/83748015765","83.74801-5765")</f>
        <v>83.74801-5765</v>
      </c>
      <c r="B3896" s="12" t="str">
        <f>HYPERLINK("https://parts-sales.ru/parts/MAN/83748015765","Крышка багажника")</f>
        <v>Крышка багажника</v>
      </c>
      <c r="C3896" s="3" t="s">
        <v>16</v>
      </c>
      <c r="D3896" s="4">
        <v>162576</v>
      </c>
      <c r="E3896" s="4">
        <v>49527</v>
      </c>
      <c r="F3896" s="8">
        <v>0.7</v>
      </c>
      <c r="H3896" s="11"/>
      <c r="I3896" s="11"/>
      <c r="J3896" s="11"/>
    </row>
    <row r="3897" spans="1:10" ht="15.75" x14ac:dyDescent="0.3">
      <c r="A3897" s="13" t="str">
        <f>HYPERLINK("https://parts-sales.ru/parts/MAN/83748016074","83.74801-6074")</f>
        <v>83.74801-6074</v>
      </c>
      <c r="B3897" s="13" t="str">
        <f>HYPERLINK("https://parts-sales.ru/parts/MAN/83748016074","Крышка багажника")</f>
        <v>Крышка багажника</v>
      </c>
      <c r="C3897" s="5" t="s">
        <v>16</v>
      </c>
      <c r="D3897" s="6">
        <v>88387.199999999997</v>
      </c>
      <c r="E3897" s="6">
        <v>26926</v>
      </c>
      <c r="F3897" s="9">
        <v>0.7</v>
      </c>
      <c r="H3897" s="11"/>
      <c r="I3897" s="11"/>
      <c r="J3897" s="11"/>
    </row>
    <row r="3898" spans="1:10" ht="15.75" x14ac:dyDescent="0.3">
      <c r="A3898" s="12" t="str">
        <f>HYPERLINK("https://parts-sales.ru/parts/MAN/83748210594","83.74821-0594")</f>
        <v>83.74821-0594</v>
      </c>
      <c r="B3898" s="12" t="str">
        <f>HYPERLINK("https://parts-sales.ru/parts/MAN/83748210594","Газовая пневматич. подвеска")</f>
        <v>Газовая пневматич. подвеска</v>
      </c>
      <c r="C3898" s="3" t="s">
        <v>16</v>
      </c>
      <c r="D3898" s="4">
        <v>3921.6</v>
      </c>
      <c r="E3898" s="4">
        <v>1062</v>
      </c>
      <c r="F3898" s="8">
        <v>0.73</v>
      </c>
      <c r="H3898" s="11"/>
      <c r="I3898" s="11"/>
      <c r="J3898" s="11"/>
    </row>
    <row r="3899" spans="1:10" ht="15.75" x14ac:dyDescent="0.3">
      <c r="A3899" s="13" t="str">
        <f>HYPERLINK("https://parts-sales.ru/parts/MAN/83749406528","83.74940-6528")</f>
        <v>83.74940-6528</v>
      </c>
      <c r="B3899" s="13" t="str">
        <f>HYPERLINK("https://parts-sales.ru/parts/MAN/83749406528","Фронтальная гидроизоляция")</f>
        <v>Фронтальная гидроизоляция</v>
      </c>
      <c r="C3899" s="5" t="s">
        <v>16</v>
      </c>
      <c r="D3899" s="6">
        <v>83731.199999999997</v>
      </c>
      <c r="E3899" s="6">
        <v>18674</v>
      </c>
      <c r="F3899" s="9">
        <v>0.78</v>
      </c>
      <c r="H3899" s="11"/>
      <c r="I3899" s="11"/>
      <c r="J3899" s="11"/>
    </row>
    <row r="3900" spans="1:10" ht="15.75" x14ac:dyDescent="0.3">
      <c r="A3900" s="12" t="str">
        <f>HYPERLINK("https://parts-sales.ru/parts/MAN/83749500543","83.74950-0543")</f>
        <v>83.74950-0543</v>
      </c>
      <c r="B3900" s="12" t="str">
        <f>HYPERLINK("https://parts-sales.ru/parts/MAN/83749500543","Двер. резина для защиты рук с")</f>
        <v>Двер. резина для защиты рук с</v>
      </c>
      <c r="C3900" s="3" t="s">
        <v>16</v>
      </c>
      <c r="D3900" s="4">
        <v>199812</v>
      </c>
      <c r="E3900" s="4">
        <v>26522</v>
      </c>
      <c r="F3900" s="8">
        <v>0.87</v>
      </c>
      <c r="H3900" s="11"/>
      <c r="I3900" s="11"/>
      <c r="J3900" s="11"/>
    </row>
    <row r="3901" spans="1:10" ht="15.75" x14ac:dyDescent="0.3">
      <c r="A3901" s="13" t="str">
        <f>HYPERLINK("https://parts-sales.ru/parts/MAN/83749500553","83.74950-0553")</f>
        <v>83.74950-0553</v>
      </c>
      <c r="B3901" s="13" t="str">
        <f>HYPERLINK("https://parts-sales.ru/parts/MAN/83749500553","Двер. резина для защиты рук")</f>
        <v>Двер. резина для защиты рук</v>
      </c>
      <c r="C3901" s="5" t="s">
        <v>16</v>
      </c>
      <c r="D3901" s="6">
        <v>102895.2</v>
      </c>
      <c r="E3901" s="6">
        <v>44780</v>
      </c>
      <c r="F3901" s="9">
        <v>0.56000000000000005</v>
      </c>
      <c r="H3901" s="11"/>
      <c r="I3901" s="11"/>
      <c r="J3901" s="11"/>
    </row>
    <row r="3902" spans="1:10" ht="15.75" x14ac:dyDescent="0.3">
      <c r="A3902" s="12" t="str">
        <f>HYPERLINK("https://parts-sales.ru/parts/MAN/83751010483","83.75101-0483")</f>
        <v>83.75101-0483</v>
      </c>
      <c r="B3902" s="12" t="str">
        <f>HYPERLINK("https://parts-sales.ru/parts/MAN/83751010483","Боковое стекло")</f>
        <v>Боковое стекло</v>
      </c>
      <c r="C3902" s="3" t="s">
        <v>40</v>
      </c>
      <c r="D3902" s="4">
        <v>110593.2</v>
      </c>
      <c r="E3902" s="4">
        <v>11355</v>
      </c>
      <c r="F3902" s="8">
        <v>0.9</v>
      </c>
      <c r="H3902" s="11"/>
      <c r="I3902" s="11"/>
      <c r="J3902" s="11"/>
    </row>
    <row r="3903" spans="1:10" ht="15.75" x14ac:dyDescent="0.3">
      <c r="A3903" s="13" t="str">
        <f>HYPERLINK("https://parts-sales.ru/parts/MAN/83751012031","83.75101-2031")</f>
        <v>83.75101-2031</v>
      </c>
      <c r="B3903" s="13" t="str">
        <f>HYPERLINK("https://parts-sales.ru/parts/MAN/83751012031","Боковое стекло 1156X2048X18-DSG-SD-1XGRG")</f>
        <v>Боковое стекло 1156X2048X18-DSG-SD-1XGRG</v>
      </c>
      <c r="C3903" s="5" t="s">
        <v>40</v>
      </c>
      <c r="D3903" s="6">
        <v>86338.42</v>
      </c>
      <c r="E3903" s="6">
        <v>33625</v>
      </c>
      <c r="F3903" s="9">
        <v>0.61</v>
      </c>
      <c r="H3903" s="11"/>
      <c r="I3903" s="11"/>
      <c r="J3903" s="11"/>
    </row>
    <row r="3904" spans="1:10" ht="15.75" x14ac:dyDescent="0.3">
      <c r="A3904" s="12" t="str">
        <f>HYPERLINK("https://parts-sales.ru/parts/MAN/83751012033","83.75101-2033")</f>
        <v>83.75101-2033</v>
      </c>
      <c r="B3904" s="12" t="str">
        <f>HYPERLINK("https://parts-sales.ru/parts/MAN/83751012033","Боковое стекло 1156X2048X18-DSG-SD-1XGRG")</f>
        <v>Боковое стекло 1156X2048X18-DSG-SD-1XGRG</v>
      </c>
      <c r="C3904" s="3" t="s">
        <v>40</v>
      </c>
      <c r="D3904" s="4">
        <v>80299.199999999997</v>
      </c>
      <c r="E3904" s="4">
        <v>24462</v>
      </c>
      <c r="F3904" s="8">
        <v>0.7</v>
      </c>
      <c r="H3904" s="11"/>
      <c r="I3904" s="11"/>
      <c r="J3904" s="11"/>
    </row>
    <row r="3905" spans="1:10" ht="15.75" x14ac:dyDescent="0.3">
      <c r="A3905" s="13" t="str">
        <f>HYPERLINK("https://parts-sales.ru/parts/MAN/83751030245","83.75103-0245")</f>
        <v>83.75103-0245</v>
      </c>
      <c r="B3905" s="13" t="str">
        <f>HYPERLINK("https://parts-sales.ru/parts/MAN/83751030245","Боковое стекло")</f>
        <v>Боковое стекло</v>
      </c>
      <c r="C3905" s="5" t="s">
        <v>40</v>
      </c>
      <c r="D3905" s="6">
        <v>234088.8</v>
      </c>
      <c r="E3905" s="6">
        <v>24743</v>
      </c>
      <c r="F3905" s="9">
        <v>0.89</v>
      </c>
      <c r="H3905" s="11"/>
      <c r="I3905" s="11"/>
      <c r="J3905" s="11"/>
    </row>
    <row r="3906" spans="1:10" ht="15.75" x14ac:dyDescent="0.3">
      <c r="A3906" s="12" t="str">
        <f>HYPERLINK("https://parts-sales.ru/parts/MAN/83751030248","83.75103-0248")</f>
        <v>83.75103-0248</v>
      </c>
      <c r="B3906" s="12" t="str">
        <f>HYPERLINK("https://parts-sales.ru/parts/MAN/83751030248","Боковое стекло")</f>
        <v>Боковое стекло</v>
      </c>
      <c r="C3906" s="3" t="s">
        <v>40</v>
      </c>
      <c r="D3906" s="4">
        <v>37733.69</v>
      </c>
      <c r="E3906" s="4">
        <v>11065</v>
      </c>
      <c r="F3906" s="8">
        <v>0.71</v>
      </c>
      <c r="H3906" s="11"/>
      <c r="I3906" s="11"/>
      <c r="J3906" s="11"/>
    </row>
    <row r="3907" spans="1:10" ht="15.75" x14ac:dyDescent="0.3">
      <c r="A3907" s="13" t="str">
        <f>HYPERLINK("https://parts-sales.ru/parts/MAN/83751030249","83.75103-0249")</f>
        <v>83.75103-0249</v>
      </c>
      <c r="B3907" s="13" t="str">
        <f>HYPERLINK("https://parts-sales.ru/parts/MAN/83751030249","Боковое стекло 2023X1093X18-DSG-2XGRGT")</f>
        <v>Боковое стекло 2023X1093X18-DSG-2XGRGT</v>
      </c>
      <c r="C3907" s="5" t="s">
        <v>40</v>
      </c>
      <c r="D3907" s="6">
        <v>77701.58</v>
      </c>
      <c r="E3907" s="6">
        <v>22785</v>
      </c>
      <c r="F3907" s="9">
        <v>0.71</v>
      </c>
      <c r="H3907" s="11"/>
      <c r="I3907" s="11"/>
      <c r="J3907" s="11"/>
    </row>
    <row r="3908" spans="1:10" ht="15.75" x14ac:dyDescent="0.3">
      <c r="A3908" s="12" t="str">
        <f>HYPERLINK("https://parts-sales.ru/parts/MAN/83751030251","83.75103-0251")</f>
        <v>83.75103-0251</v>
      </c>
      <c r="B3908" s="12" t="str">
        <f>HYPERLINK("https://parts-sales.ru/parts/MAN/83751030251","Боковое стекло 2327X1093X18/0-0-DSG-SD-2")</f>
        <v>Боковое стекло 2327X1093X18/0-0-DSG-SD-2</v>
      </c>
      <c r="C3908" s="3" t="s">
        <v>40</v>
      </c>
      <c r="D3908" s="4">
        <v>128504.21</v>
      </c>
      <c r="E3908" s="4">
        <v>37682</v>
      </c>
      <c r="F3908" s="8">
        <v>0.71</v>
      </c>
      <c r="H3908" s="11"/>
      <c r="I3908" s="11"/>
      <c r="J3908" s="11"/>
    </row>
    <row r="3909" spans="1:10" ht="15.75" x14ac:dyDescent="0.3">
      <c r="A3909" s="13" t="str">
        <f>HYPERLINK("https://parts-sales.ru/parts/MAN/83751030253","83.75103-0253")</f>
        <v>83.75103-0253</v>
      </c>
      <c r="B3909" s="13" t="str">
        <f>HYPERLINK("https://parts-sales.ru/parts/MAN/83751030253","Боковое стекло 823X1093X18-DSG-SD-2XGRGT")</f>
        <v>Боковое стекло 823X1093X18-DSG-SD-2XGRGT</v>
      </c>
      <c r="C3909" s="5" t="s">
        <v>40</v>
      </c>
      <c r="D3909" s="6">
        <v>114508.42</v>
      </c>
      <c r="E3909" s="6">
        <v>33578</v>
      </c>
      <c r="F3909" s="9">
        <v>0.71</v>
      </c>
      <c r="H3909" s="11"/>
      <c r="I3909" s="11"/>
      <c r="J3909" s="11"/>
    </row>
    <row r="3910" spans="1:10" ht="15.75" x14ac:dyDescent="0.3">
      <c r="A3910" s="12" t="str">
        <f>HYPERLINK("https://parts-sales.ru/parts/MAN/83751030255","83.75103-0255")</f>
        <v>83.75103-0255</v>
      </c>
      <c r="B3910" s="12" t="str">
        <f>HYPERLINK("https://parts-sales.ru/parts/MAN/83751030255","Боковое стекло 2066X1093X18-DSG-SD-2XGRG")</f>
        <v>Боковое стекло 2066X1093X18-DSG-SD-2XGRG</v>
      </c>
      <c r="C3910" s="3" t="s">
        <v>40</v>
      </c>
      <c r="D3910" s="4">
        <v>79604.399999999994</v>
      </c>
      <c r="E3910" s="4">
        <v>43304</v>
      </c>
      <c r="F3910" s="8">
        <v>0.46</v>
      </c>
      <c r="H3910" s="11"/>
      <c r="I3910" s="11"/>
      <c r="J3910" s="11"/>
    </row>
    <row r="3911" spans="1:10" ht="15.75" x14ac:dyDescent="0.3">
      <c r="A3911" s="13" t="str">
        <f>HYPERLINK("https://parts-sales.ru/parts/MAN/83751030257","83.75103-0257")</f>
        <v>83.75103-0257</v>
      </c>
      <c r="B3911" s="13" t="str">
        <f>HYPERLINK("https://parts-sales.ru/parts/MAN/83751030257","Боковое стекло 1792X1093X18/0-0-DSG-SD-2")</f>
        <v>Боковое стекло 1792X1093X18/0-0-DSG-SD-2</v>
      </c>
      <c r="C3911" s="5" t="s">
        <v>40</v>
      </c>
      <c r="D3911" s="6">
        <v>111414</v>
      </c>
      <c r="E3911" s="6">
        <v>33941</v>
      </c>
      <c r="F3911" s="9">
        <v>0.7</v>
      </c>
      <c r="H3911" s="11"/>
      <c r="I3911" s="11"/>
      <c r="J3911" s="11"/>
    </row>
    <row r="3912" spans="1:10" ht="15.75" x14ac:dyDescent="0.3">
      <c r="A3912" s="12" t="str">
        <f>HYPERLINK("https://parts-sales.ru/parts/MAN/83751030356","83.75103-0356")</f>
        <v>83.75103-0356</v>
      </c>
      <c r="B3912" s="12" t="str">
        <f>HYPERLINK("https://parts-sales.ru/parts/MAN/83751030356","Боковое стекло")</f>
        <v>Боковое стекло</v>
      </c>
      <c r="C3912" s="3" t="s">
        <v>40</v>
      </c>
      <c r="D3912" s="4">
        <v>167732.4</v>
      </c>
      <c r="E3912" s="4">
        <v>19398</v>
      </c>
      <c r="F3912" s="8">
        <v>0.88</v>
      </c>
      <c r="H3912" s="11"/>
      <c r="I3912" s="11"/>
      <c r="J3912" s="11"/>
    </row>
    <row r="3913" spans="1:10" ht="15.75" x14ac:dyDescent="0.3">
      <c r="A3913" s="13" t="str">
        <f>HYPERLINK("https://parts-sales.ru/parts/MAN/83751030453","83.75103-0453")</f>
        <v>83.75103-0453</v>
      </c>
      <c r="B3913" s="13" t="str">
        <f>HYPERLINK("https://parts-sales.ru/parts/MAN/83751030453","Лобовое стекло 2480X1466,5X7,8-VSG-SD-HB")</f>
        <v>Лобовое стекло 2480X1466,5X7,8-VSG-SD-HB</v>
      </c>
      <c r="C3913" s="5" t="s">
        <v>40</v>
      </c>
      <c r="D3913" s="6">
        <v>168487.27</v>
      </c>
      <c r="E3913" s="6">
        <v>112325</v>
      </c>
      <c r="F3913" s="9">
        <v>0.33</v>
      </c>
      <c r="H3913" s="11"/>
      <c r="I3913" s="11"/>
      <c r="J3913" s="11"/>
    </row>
    <row r="3914" spans="1:10" ht="15.75" x14ac:dyDescent="0.3">
      <c r="A3914" s="12" t="str">
        <f>HYPERLINK("https://parts-sales.ru/parts/MAN/83751030482","83.75103-0482")</f>
        <v>83.75103-0482</v>
      </c>
      <c r="B3914" s="12" t="str">
        <f>HYPERLINK("https://parts-sales.ru/parts/MAN/83751030482","Боковое стекло 1382X1087X20/0-0-DSG-SD-G")</f>
        <v>Боковое стекло 1382X1087X20/0-0-DSG-SD-G</v>
      </c>
      <c r="C3914" s="3" t="s">
        <v>40</v>
      </c>
      <c r="D3914" s="4">
        <v>100453.2</v>
      </c>
      <c r="E3914" s="4">
        <v>10304</v>
      </c>
      <c r="F3914" s="8">
        <v>0.9</v>
      </c>
      <c r="H3914" s="11"/>
      <c r="I3914" s="11"/>
      <c r="J3914" s="11"/>
    </row>
    <row r="3915" spans="1:10" ht="15.75" x14ac:dyDescent="0.3">
      <c r="A3915" s="13" t="str">
        <f>HYPERLINK("https://parts-sales.ru/parts/MAN/83751030509","83.75103-0509")</f>
        <v>83.75103-0509</v>
      </c>
      <c r="B3915" s="13" t="str">
        <f>HYPERLINK("https://parts-sales.ru/parts/MAN/83751030509","Заднее стекло 2151/2049X765X4-ESG-SD-GNG")</f>
        <v>Заднее стекло 2151/2049X765X4-ESG-SD-GNG</v>
      </c>
      <c r="C3915" s="5" t="s">
        <v>40</v>
      </c>
      <c r="D3915" s="6">
        <v>48052.65</v>
      </c>
      <c r="E3915" s="6">
        <v>20049</v>
      </c>
      <c r="F3915" s="9">
        <v>0.57999999999999996</v>
      </c>
      <c r="H3915" s="11"/>
      <c r="I3915" s="11"/>
      <c r="J3915" s="11"/>
    </row>
    <row r="3916" spans="1:10" ht="15.75" x14ac:dyDescent="0.3">
      <c r="A3916" s="12" t="str">
        <f>HYPERLINK("https://parts-sales.ru/parts/MAN/83751030613","83.75103-0613")</f>
        <v>83.75103-0613</v>
      </c>
      <c r="B3916" s="12" t="str">
        <f>HYPERLINK("https://parts-sales.ru/parts/MAN/83751030613","Боковое стекло 1792X1093X18-DSG-SD-1XGRG")</f>
        <v>Боковое стекло 1792X1093X18-DSG-SD-1XGRG</v>
      </c>
      <c r="C3916" s="3" t="s">
        <v>40</v>
      </c>
      <c r="D3916" s="4">
        <v>103220.4</v>
      </c>
      <c r="E3916" s="4">
        <v>16100</v>
      </c>
      <c r="F3916" s="8">
        <v>0.84</v>
      </c>
      <c r="H3916" s="11"/>
      <c r="I3916" s="11"/>
      <c r="J3916" s="11"/>
    </row>
    <row r="3917" spans="1:10" ht="15.75" x14ac:dyDescent="0.3">
      <c r="A3917" s="13" t="str">
        <f>HYPERLINK("https://parts-sales.ru/parts/MAN/83751040011","83.75104-0011")</f>
        <v>83.75104-0011</v>
      </c>
      <c r="B3917" s="13" t="str">
        <f>HYPERLINK("https://parts-sales.ru/parts/MAN/83751040011","Дверная шайба 791X2035X14/1-DSG-SD-GNGT")</f>
        <v>Дверная шайба 791X2035X14/1-DSG-SD-GNGT</v>
      </c>
      <c r="C3917" s="5" t="s">
        <v>40</v>
      </c>
      <c r="D3917" s="6">
        <v>202791.6</v>
      </c>
      <c r="E3917" s="6">
        <v>27774</v>
      </c>
      <c r="F3917" s="9">
        <v>0.86</v>
      </c>
      <c r="H3917" s="11"/>
      <c r="I3917" s="11"/>
      <c r="J3917" s="11"/>
    </row>
    <row r="3918" spans="1:10" ht="15.75" x14ac:dyDescent="0.3">
      <c r="A3918" s="12" t="str">
        <f>HYPERLINK("https://parts-sales.ru/parts/MAN/83760086028","83.76008-6028")</f>
        <v>83.76008-6028</v>
      </c>
      <c r="B3918" s="12" t="str">
        <f>HYPERLINK("https://parts-sales.ru/parts/MAN/83760086028","Приборная доска")</f>
        <v>Приборная доска</v>
      </c>
      <c r="C3918" s="3" t="s">
        <v>16</v>
      </c>
      <c r="D3918" s="4">
        <v>115616.4</v>
      </c>
      <c r="E3918" s="4">
        <v>35222</v>
      </c>
      <c r="F3918" s="8">
        <v>0.7</v>
      </c>
      <c r="H3918" s="11"/>
      <c r="I3918" s="11"/>
      <c r="J3918" s="11"/>
    </row>
    <row r="3919" spans="1:10" ht="15.75" x14ac:dyDescent="0.3">
      <c r="A3919" s="13" t="str">
        <f>HYPERLINK("https://parts-sales.ru/parts/MAN/83763020719","83.76302-0719")</f>
        <v>83.76302-0719</v>
      </c>
      <c r="B3919" s="13" t="str">
        <f>HYPERLINK("https://parts-sales.ru/parts/MAN/83763020719","Внутренняя обшивка")</f>
        <v>Внутренняя обшивка</v>
      </c>
      <c r="C3919" s="5" t="s">
        <v>16</v>
      </c>
      <c r="D3919" s="6">
        <v>27174</v>
      </c>
      <c r="E3919" s="6">
        <v>8828</v>
      </c>
      <c r="F3919" s="9">
        <v>0.68</v>
      </c>
      <c r="H3919" s="11"/>
      <c r="I3919" s="11"/>
      <c r="J3919" s="11"/>
    </row>
    <row r="3920" spans="1:10" ht="15.75" x14ac:dyDescent="0.3">
      <c r="A3920" s="12" t="str">
        <f>HYPERLINK("https://parts-sales.ru/parts/MAN/83778230068","83.77823-0068")</f>
        <v>83.77823-0068</v>
      </c>
      <c r="B3920" s="12" t="str">
        <f>HYPERLINK("https://parts-sales.ru/parts/MAN/83778230068","Кожух")</f>
        <v>Кожух</v>
      </c>
      <c r="C3920" s="3" t="s">
        <v>16</v>
      </c>
      <c r="D3920" s="4">
        <v>1359.6</v>
      </c>
      <c r="E3920" s="4">
        <v>292</v>
      </c>
      <c r="F3920" s="8">
        <v>0.79</v>
      </c>
      <c r="H3920" s="11"/>
      <c r="I3920" s="11"/>
      <c r="J3920" s="11"/>
    </row>
    <row r="3921" spans="1:10" ht="15.75" x14ac:dyDescent="0.3">
      <c r="A3921" s="13" t="str">
        <f>HYPERLINK("https://parts-sales.ru/parts/MAN/83779100508","83.77910-0508")</f>
        <v>83.77910-0508</v>
      </c>
      <c r="B3921" s="13" t="str">
        <f>HYPERLINK("https://parts-sales.ru/parts/MAN/83779100508","Фильтровальный мат")</f>
        <v>Фильтровальный мат</v>
      </c>
      <c r="C3921" s="5" t="s">
        <v>16</v>
      </c>
      <c r="D3921" s="6">
        <v>2688</v>
      </c>
      <c r="E3921" s="6">
        <v>300</v>
      </c>
      <c r="F3921" s="9">
        <v>0.89</v>
      </c>
      <c r="H3921" s="11"/>
      <c r="I3921" s="11"/>
      <c r="J3921" s="11"/>
    </row>
    <row r="3922" spans="1:10" ht="15.75" x14ac:dyDescent="0.3">
      <c r="A3922" s="12" t="str">
        <f>HYPERLINK("https://parts-sales.ru/parts/MAN/83779400849","83.77940-0849")</f>
        <v>83.77940-0849</v>
      </c>
      <c r="B3922" s="12" t="str">
        <f>HYPERLINK("https://parts-sales.ru/parts/MAN/83779400849","Держатель Воздушный фильтр")</f>
        <v>Держатель Воздушный фильтр</v>
      </c>
      <c r="C3922" s="3" t="s">
        <v>16</v>
      </c>
      <c r="D3922" s="4">
        <v>2635.2</v>
      </c>
      <c r="E3922" s="4">
        <v>610</v>
      </c>
      <c r="F3922" s="8">
        <v>0.77</v>
      </c>
      <c r="H3922" s="11"/>
      <c r="I3922" s="11"/>
      <c r="J3922" s="11"/>
    </row>
    <row r="3923" spans="1:10" ht="15.75" x14ac:dyDescent="0.3">
      <c r="A3923" s="13" t="str">
        <f>HYPERLINK("https://parts-sales.ru/parts/MAN/83779720656","83.77972-0656")</f>
        <v>83.77972-0656</v>
      </c>
      <c r="B3923" s="13" t="str">
        <f>HYPERLINK("https://parts-sales.ru/parts/MAN/83779720656","Воздушный фильтр")</f>
        <v>Воздушный фильтр</v>
      </c>
      <c r="C3923" s="5" t="s">
        <v>16</v>
      </c>
      <c r="D3923" s="6">
        <v>26257.200000000001</v>
      </c>
      <c r="E3923" s="6">
        <v>5529</v>
      </c>
      <c r="F3923" s="9">
        <v>0.79</v>
      </c>
      <c r="H3923" s="11"/>
      <c r="I3923" s="11"/>
      <c r="J3923" s="11"/>
    </row>
    <row r="3924" spans="1:10" ht="15.75" x14ac:dyDescent="0.3">
      <c r="A3924" s="12" t="str">
        <f>HYPERLINK("https://parts-sales.ru/parts/MAN/83779890508","83.77989-0508")</f>
        <v>83.77989-0508</v>
      </c>
      <c r="B3924" s="12" t="str">
        <f>HYPERLINK("https://parts-sales.ru/parts/MAN/83779890508","Уплотнительный комплект")</f>
        <v>Уплотнительный комплект</v>
      </c>
      <c r="C3924" s="3" t="s">
        <v>16</v>
      </c>
      <c r="D3924" s="4">
        <v>45502.58</v>
      </c>
      <c r="E3924" s="4">
        <v>18985</v>
      </c>
      <c r="F3924" s="8">
        <v>0.57999999999999996</v>
      </c>
      <c r="H3924" s="11"/>
      <c r="I3924" s="11"/>
      <c r="J3924" s="11"/>
    </row>
    <row r="3925" spans="1:10" ht="15.75" x14ac:dyDescent="0.3">
      <c r="A3925" s="13" t="str">
        <f>HYPERLINK("https://parts-sales.ru/parts/MAN/83779890532","83.77989-0532")</f>
        <v>83.77989-0532</v>
      </c>
      <c r="B3925" s="13" t="str">
        <f>HYPERLINK("https://parts-sales.ru/parts/MAN/83779890532","Уплотнительное кольцо")</f>
        <v>Уплотнительное кольцо</v>
      </c>
      <c r="C3925" s="5" t="s">
        <v>16</v>
      </c>
      <c r="D3925" s="6">
        <v>3597.6</v>
      </c>
      <c r="E3925" s="6">
        <v>209</v>
      </c>
      <c r="F3925" s="9">
        <v>0.94</v>
      </c>
      <c r="H3925" s="11"/>
      <c r="I3925" s="11"/>
      <c r="J3925" s="11"/>
    </row>
    <row r="3926" spans="1:10" ht="15.75" x14ac:dyDescent="0.3">
      <c r="A3926" s="12" t="str">
        <f>HYPERLINK("https://parts-sales.ru/parts/MAN/83786400674","83.78640-0674")</f>
        <v>83.78640-0674</v>
      </c>
      <c r="B3926" s="12" t="str">
        <f>HYPERLINK("https://parts-sales.ru/parts/MAN/83786400674","Рычаг управления S8000-N")</f>
        <v>Рычаг управления S8000-N</v>
      </c>
      <c r="C3926" s="3" t="s">
        <v>16</v>
      </c>
      <c r="D3926" s="4">
        <v>1669.2</v>
      </c>
      <c r="E3926" s="4">
        <v>294</v>
      </c>
      <c r="F3926" s="8">
        <v>0.82</v>
      </c>
      <c r="H3926" s="11"/>
      <c r="I3926" s="11"/>
      <c r="J3926" s="11"/>
    </row>
    <row r="3927" spans="1:10" ht="15.75" x14ac:dyDescent="0.3">
      <c r="A3927" s="13" t="str">
        <f>HYPERLINK("https://parts-sales.ru/parts/MAN/83786400675","83.78640-0675")</f>
        <v>83.78640-0675</v>
      </c>
      <c r="B3927" s="13" t="str">
        <f>HYPERLINK("https://parts-sales.ru/parts/MAN/83786400675","Рычаг управления S8000-N")</f>
        <v>Рычаг управления S8000-N</v>
      </c>
      <c r="C3927" s="5" t="s">
        <v>16</v>
      </c>
      <c r="D3927" s="6">
        <v>1669.2</v>
      </c>
      <c r="E3927" s="6">
        <v>294</v>
      </c>
      <c r="F3927" s="9">
        <v>0.82</v>
      </c>
      <c r="H3927" s="11"/>
      <c r="I3927" s="11"/>
      <c r="J3927" s="11"/>
    </row>
    <row r="3928" spans="1:10" ht="15.75" x14ac:dyDescent="0.3">
      <c r="A3928" s="12" t="str">
        <f>HYPERLINK("https://parts-sales.ru/parts/MAN/83792010502","83.79201-0502")</f>
        <v>83.79201-0502</v>
      </c>
      <c r="B3928" s="12" t="str">
        <f>HYPERLINK("https://parts-sales.ru/parts/MAN/83792010502","Бампер пластиковый Середина")</f>
        <v>Бампер пластиковый Середина</v>
      </c>
      <c r="C3928" s="3" t="s">
        <v>16</v>
      </c>
      <c r="D3928" s="4">
        <v>168206.4</v>
      </c>
      <c r="E3928" s="4">
        <v>23823</v>
      </c>
      <c r="F3928" s="8">
        <v>0.86</v>
      </c>
      <c r="H3928" s="11"/>
      <c r="I3928" s="11"/>
      <c r="J3928" s="11"/>
    </row>
    <row r="3929" spans="1:10" ht="15.75" x14ac:dyDescent="0.3">
      <c r="A3929" s="13" t="str">
        <f>HYPERLINK("https://parts-sales.ru/parts/MAN/83904900022","83.90490-0022")</f>
        <v>83.90490-0022</v>
      </c>
      <c r="B3929" s="13" t="str">
        <f>HYPERLINK("https://parts-sales.ru/parts/MAN/83904900022","Винт с плоской головкой M8X25-A2-SW")</f>
        <v>Винт с плоской головкой M8X25-A2-SW</v>
      </c>
      <c r="C3929" s="5" t="s">
        <v>6</v>
      </c>
      <c r="D3929" s="6">
        <v>834</v>
      </c>
      <c r="E3929" s="6">
        <v>113</v>
      </c>
      <c r="F3929" s="9">
        <v>0.86</v>
      </c>
      <c r="H3929" s="11"/>
      <c r="I3929" s="11"/>
      <c r="J3929" s="11"/>
    </row>
    <row r="3930" spans="1:10" ht="15.75" x14ac:dyDescent="0.3">
      <c r="A3930" s="12" t="str">
        <f>HYPERLINK("https://parts-sales.ru/parts/MAN/83922020518","83.92202-0518")</f>
        <v>83.92202-0518</v>
      </c>
      <c r="B3930" s="12" t="str">
        <f>HYPERLINK("https://parts-sales.ru/parts/MAN/83922020518","Насечная заклепка  NCS4502B")</f>
        <v>Насечная заклепка  NCS4502B</v>
      </c>
      <c r="C3930" s="3" t="s">
        <v>16</v>
      </c>
      <c r="D3930" s="4">
        <v>216</v>
      </c>
      <c r="E3930" s="4">
        <v>23</v>
      </c>
      <c r="F3930" s="8">
        <v>0.89</v>
      </c>
      <c r="H3930" s="11"/>
      <c r="I3930" s="11"/>
      <c r="J3930" s="11"/>
    </row>
    <row r="3931" spans="1:10" ht="15.75" x14ac:dyDescent="0.3">
      <c r="A3931" s="13" t="str">
        <f>HYPERLINK("https://parts-sales.ru/parts/MAN/83961010557","83.96101-0557")</f>
        <v>83.96101-0557</v>
      </c>
      <c r="B3931" s="13" t="str">
        <f>HYPERLINK("https://parts-sales.ru/parts/MAN/83961010557","Резиновый профиль рамы Дверь 2")</f>
        <v>Резиновый профиль рамы Дверь 2</v>
      </c>
      <c r="C3931" s="5" t="s">
        <v>16</v>
      </c>
      <c r="D3931" s="6">
        <v>100453.2</v>
      </c>
      <c r="E3931" s="6">
        <v>11194</v>
      </c>
      <c r="F3931" s="9">
        <v>0.89</v>
      </c>
      <c r="H3931" s="11"/>
      <c r="I3931" s="11"/>
      <c r="J3931" s="11"/>
    </row>
    <row r="3932" spans="1:10" ht="15.75" x14ac:dyDescent="0.3">
      <c r="A3932" s="12" t="str">
        <f>HYPERLINK("https://parts-sales.ru/parts/MAN/83963010526","83.96301-0526")</f>
        <v>83.96301-0526</v>
      </c>
      <c r="B3932" s="12" t="str">
        <f>HYPERLINK("https://parts-sales.ru/parts/MAN/83963010526","Гармониковый шланг")</f>
        <v>Гармониковый шланг</v>
      </c>
      <c r="C3932" s="3" t="s">
        <v>16</v>
      </c>
      <c r="D3932" s="4">
        <v>2122.8000000000002</v>
      </c>
      <c r="E3932" s="4">
        <v>520</v>
      </c>
      <c r="F3932" s="8">
        <v>0.76</v>
      </c>
      <c r="H3932" s="11"/>
      <c r="I3932" s="11"/>
      <c r="J3932" s="11"/>
    </row>
    <row r="3933" spans="1:10" ht="15.75" x14ac:dyDescent="0.3">
      <c r="A3933" s="13" t="str">
        <f>HYPERLINK("https://parts-sales.ru/parts/MAN/83971160509","83.97116-0509")</f>
        <v>83.97116-0509</v>
      </c>
      <c r="B3933" s="13" t="str">
        <f>HYPERLINK("https://parts-sales.ru/parts/MAN/83971160509","Зажимная часть")</f>
        <v>Зажимная часть</v>
      </c>
      <c r="C3933" s="5" t="s">
        <v>16</v>
      </c>
      <c r="D3933" s="6">
        <v>524.4</v>
      </c>
      <c r="E3933" s="6">
        <v>199</v>
      </c>
      <c r="F3933" s="9">
        <v>0.62</v>
      </c>
      <c r="H3933" s="11"/>
      <c r="I3933" s="11"/>
      <c r="J3933" s="11"/>
    </row>
    <row r="3934" spans="1:10" ht="15.75" x14ac:dyDescent="0.3">
      <c r="A3934" s="12" t="str">
        <f>HYPERLINK("https://parts-sales.ru/parts/MAN/83971166663","83.97116-6663")</f>
        <v>83.97116-6663</v>
      </c>
      <c r="B3934" s="12" t="str">
        <f>HYPERLINK("https://parts-sales.ru/parts/MAN/83971166663","Замок")</f>
        <v>Замок</v>
      </c>
      <c r="C3934" s="3" t="s">
        <v>16</v>
      </c>
      <c r="D3934" s="4">
        <v>10495.51</v>
      </c>
      <c r="E3934" s="4">
        <v>4368</v>
      </c>
      <c r="F3934" s="8">
        <v>0.57999999999999996</v>
      </c>
      <c r="H3934" s="11"/>
      <c r="I3934" s="11"/>
      <c r="J3934" s="11"/>
    </row>
    <row r="3935" spans="1:10" ht="15.75" x14ac:dyDescent="0.3">
      <c r="A3935" s="13" t="str">
        <f>HYPERLINK("https://parts-sales.ru/parts/MAN/83974800718","83.97480-0718")</f>
        <v>83.97480-0718</v>
      </c>
      <c r="B3935" s="13" t="str">
        <f>HYPERLINK("https://parts-sales.ru/parts/MAN/83974800718","Держатель")</f>
        <v>Держатель</v>
      </c>
      <c r="C3935" s="5" t="s">
        <v>16</v>
      </c>
      <c r="D3935" s="6">
        <v>1732.92</v>
      </c>
      <c r="E3935" s="6">
        <v>725</v>
      </c>
      <c r="F3935" s="9">
        <v>0.57999999999999996</v>
      </c>
      <c r="H3935" s="11"/>
      <c r="I3935" s="11"/>
      <c r="J3935" s="11"/>
    </row>
    <row r="3936" spans="1:10" ht="15.75" x14ac:dyDescent="0.3">
      <c r="A3936" s="12" t="str">
        <f>HYPERLINK("https://parts-sales.ru/parts/MAN/83978012737","83.97801-2737")</f>
        <v>83.97801-2737</v>
      </c>
      <c r="B3936" s="12" t="str">
        <f>HYPERLINK("https://parts-sales.ru/parts/MAN/83978012737","Табличка Аккумуляторный ящик")</f>
        <v>Табличка Аккумуляторный ящик</v>
      </c>
      <c r="C3936" s="3" t="s">
        <v>16</v>
      </c>
      <c r="D3936" s="4">
        <v>556.79999999999995</v>
      </c>
      <c r="E3936" s="4">
        <v>134</v>
      </c>
      <c r="F3936" s="8">
        <v>0.76</v>
      </c>
      <c r="H3936" s="11"/>
      <c r="I3936" s="11"/>
      <c r="J3936" s="11"/>
    </row>
    <row r="3937" spans="1:10" ht="15.75" x14ac:dyDescent="0.3">
      <c r="A3937" s="13" t="str">
        <f>HYPERLINK("https://parts-sales.ru/parts/MAN/83978070011","83.97807-0011")</f>
        <v>83.97807-0011</v>
      </c>
      <c r="B3937" s="13" t="str">
        <f>HYPERLINK("https://parts-sales.ru/parts/MAN/83978070011","Табличка")</f>
        <v>Табличка</v>
      </c>
      <c r="C3937" s="5" t="s">
        <v>16</v>
      </c>
      <c r="D3937" s="6">
        <v>4500</v>
      </c>
      <c r="E3937" s="6">
        <v>935</v>
      </c>
      <c r="F3937" s="9">
        <v>0.79</v>
      </c>
      <c r="H3937" s="11"/>
      <c r="I3937" s="11"/>
      <c r="J3937" s="11"/>
    </row>
    <row r="3938" spans="1:10" ht="15.75" x14ac:dyDescent="0.3">
      <c r="A3938" s="12" t="str">
        <f>HYPERLINK("https://parts-sales.ru/parts/MAN/81978022787","81.97802-2787")</f>
        <v>81.97802-2787</v>
      </c>
      <c r="B3938" s="12" t="str">
        <f>HYPERLINK("https://parts-sales.ru/parts/MAN/81978022787","Самоприклеивающаяся табличка")</f>
        <v>Самоприклеивающаяся табличка</v>
      </c>
      <c r="C3938" s="3" t="s">
        <v>12</v>
      </c>
      <c r="D3938" s="4">
        <v>1014</v>
      </c>
      <c r="E3938" s="4">
        <v>12</v>
      </c>
      <c r="F3938" s="8">
        <v>0.99</v>
      </c>
      <c r="H3938" s="11"/>
      <c r="I3938" s="11"/>
      <c r="J3938" s="11"/>
    </row>
    <row r="3939" spans="1:10" ht="15.75" x14ac:dyDescent="0.3">
      <c r="A3939" s="13" t="str">
        <f>HYPERLINK("https://parts-sales.ru/parts/MAN/85254246070","85.25424-6070")</f>
        <v>85.25424-6070</v>
      </c>
      <c r="B3939" s="13" t="str">
        <f>HYPERLINK("https://parts-sales.ru/parts/MAN/85254246070","Кабельная шахта")</f>
        <v>Кабельная шахта</v>
      </c>
      <c r="C3939" s="5" t="s">
        <v>8</v>
      </c>
      <c r="D3939" s="6">
        <v>118188</v>
      </c>
      <c r="E3939" s="6">
        <v>36004</v>
      </c>
      <c r="F3939" s="9">
        <v>0.7</v>
      </c>
      <c r="H3939" s="11"/>
      <c r="I3939" s="11"/>
      <c r="J3939" s="11"/>
    </row>
    <row r="3940" spans="1:10" ht="15.75" x14ac:dyDescent="0.3">
      <c r="A3940" s="12" t="str">
        <f>HYPERLINK("https://parts-sales.ru/parts/MAN/85254246072","85.25424-6072")</f>
        <v>85.25424-6072</v>
      </c>
      <c r="B3940" s="12" t="str">
        <f>HYPERLINK("https://parts-sales.ru/parts/MAN/85254246072","Кабельная шахта")</f>
        <v>Кабельная шахта</v>
      </c>
      <c r="C3940" s="3" t="s">
        <v>8</v>
      </c>
      <c r="D3940" s="4">
        <v>188948.4</v>
      </c>
      <c r="E3940" s="4">
        <v>57561</v>
      </c>
      <c r="F3940" s="8">
        <v>0.7</v>
      </c>
      <c r="H3940" s="11"/>
      <c r="I3940" s="11"/>
      <c r="J3940" s="11"/>
    </row>
    <row r="3941" spans="1:10" ht="15.75" x14ac:dyDescent="0.3">
      <c r="A3941" s="13" t="str">
        <f>HYPERLINK("https://parts-sales.ru/parts/MAN/81978080562","81.97808-0562")</f>
        <v>81.97808-0562</v>
      </c>
      <c r="B3941" s="13" t="str">
        <f>HYPERLINK("https://parts-sales.ru/parts/MAN/81978080562","Самоприклеивающаяся табличка 70X31/KST-G")</f>
        <v>Самоприклеивающаяся табличка 70X31/KST-G</v>
      </c>
      <c r="C3941" s="5" t="s">
        <v>12</v>
      </c>
      <c r="D3941" s="6">
        <v>1760.4</v>
      </c>
      <c r="E3941" s="6">
        <v>176</v>
      </c>
      <c r="F3941" s="9">
        <v>0.9</v>
      </c>
      <c r="H3941" s="11"/>
      <c r="I3941" s="11"/>
      <c r="J3941" s="11"/>
    </row>
    <row r="3942" spans="1:10" ht="15.75" x14ac:dyDescent="0.3">
      <c r="A3942" s="12" t="str">
        <f>HYPERLINK("https://parts-sales.ru/parts/MAN/81978090814","81.97809-0814")</f>
        <v>81.97809-0814</v>
      </c>
      <c r="B3942" s="12" t="str">
        <f>HYPERLINK("https://parts-sales.ru/parts/MAN/81978090814","Самоприклеивающаяся табличка 65X28/KST-G")</f>
        <v>Самоприклеивающаяся табличка 65X28/KST-G</v>
      </c>
      <c r="C3942" s="3" t="s">
        <v>12</v>
      </c>
      <c r="D3942" s="4">
        <v>754.8</v>
      </c>
      <c r="E3942" s="4">
        <v>3</v>
      </c>
      <c r="F3942" s="8">
        <v>1</v>
      </c>
      <c r="H3942" s="11"/>
      <c r="I3942" s="11"/>
      <c r="J3942" s="11"/>
    </row>
    <row r="3943" spans="1:10" ht="15.75" x14ac:dyDescent="0.3">
      <c r="A3943" s="13" t="str">
        <f>HYPERLINK("https://parts-sales.ru/parts/MAN/81978122135","81.97812-2135")</f>
        <v>81.97812-2135</v>
      </c>
      <c r="B3943" s="13" t="str">
        <f>HYPERLINK("https://parts-sales.ru/parts/MAN/81978122135","Самоприклеивающаяся табличка 65/KST-SK-W")</f>
        <v>Самоприклеивающаяся табличка 65/KST-SK-W</v>
      </c>
      <c r="C3943" s="5" t="s">
        <v>12</v>
      </c>
      <c r="D3943" s="6">
        <v>3634.8</v>
      </c>
      <c r="E3943" s="6">
        <v>830</v>
      </c>
      <c r="F3943" s="9">
        <v>0.77</v>
      </c>
      <c r="H3943" s="11"/>
      <c r="I3943" s="11"/>
      <c r="J3943" s="11"/>
    </row>
    <row r="3944" spans="1:10" ht="15.75" x14ac:dyDescent="0.3">
      <c r="A3944" s="12" t="str">
        <f>HYPERLINK("https://parts-sales.ru/parts/MAN/81978122191","81.97812-2191")</f>
        <v>81.97812-2191</v>
      </c>
      <c r="B3944" s="12" t="str">
        <f>HYPERLINK("https://parts-sales.ru/parts/MAN/81978122191","Указательная табличка")</f>
        <v>Указательная табличка</v>
      </c>
      <c r="C3944" s="3" t="s">
        <v>12</v>
      </c>
      <c r="D3944" s="4">
        <v>711.6</v>
      </c>
      <c r="E3944" s="4">
        <v>160</v>
      </c>
      <c r="F3944" s="8">
        <v>0.78</v>
      </c>
      <c r="H3944" s="11"/>
      <c r="I3944" s="11"/>
      <c r="J3944" s="11"/>
    </row>
    <row r="3945" spans="1:10" ht="15.75" x14ac:dyDescent="0.3">
      <c r="A3945" s="13" t="str">
        <f>HYPERLINK("https://parts-sales.ru/parts/MAN/81978122318","81.97812-2318")</f>
        <v>81.97812-2318</v>
      </c>
      <c r="B3945" s="13" t="str">
        <f>HYPERLINK("https://parts-sales.ru/parts/MAN/81978122318","Самоприклеивающаяся табличка")</f>
        <v>Самоприклеивающаяся табличка</v>
      </c>
      <c r="C3945" s="5" t="s">
        <v>12</v>
      </c>
      <c r="D3945" s="6">
        <v>1131.5999999999999</v>
      </c>
      <c r="E3945" s="6">
        <v>5</v>
      </c>
      <c r="F3945" s="9">
        <v>1</v>
      </c>
      <c r="H3945" s="11"/>
      <c r="I3945" s="11"/>
      <c r="J3945" s="11"/>
    </row>
    <row r="3946" spans="1:10" ht="15.75" x14ac:dyDescent="0.3">
      <c r="A3946" s="12" t="str">
        <f>HYPERLINK("https://parts-sales.ru/parts/MAN/81978122344","81.97812-2344")</f>
        <v>81.97812-2344</v>
      </c>
      <c r="B3946" s="12" t="str">
        <f>HYPERLINK("https://parts-sales.ru/parts/MAN/81978122344","Самоприклеивающаяся табличка ADBLUE")</f>
        <v>Самоприклеивающаяся табличка ADBLUE</v>
      </c>
      <c r="C3946" s="3" t="s">
        <v>12</v>
      </c>
      <c r="D3946" s="4">
        <v>2049.6</v>
      </c>
      <c r="E3946" s="4">
        <v>30</v>
      </c>
      <c r="F3946" s="8">
        <v>0.99</v>
      </c>
      <c r="H3946" s="11"/>
      <c r="I3946" s="11"/>
      <c r="J3946" s="11"/>
    </row>
    <row r="3947" spans="1:10" ht="15.75" x14ac:dyDescent="0.3">
      <c r="A3947" s="13" t="str">
        <f>HYPERLINK("https://parts-sales.ru/parts/MAN/85413360004","85.41336-0004")</f>
        <v>85.41336-0004</v>
      </c>
      <c r="B3947" s="13" t="str">
        <f>HYPERLINK("https://parts-sales.ru/parts/MAN/85413360004","Призматическая шпонка 80X43,0/40,0X172X2")</f>
        <v>Призматическая шпонка 80X43,0/40,0X172X2</v>
      </c>
      <c r="C3947" s="5" t="s">
        <v>32</v>
      </c>
      <c r="D3947" s="6">
        <v>32674.799999999999</v>
      </c>
      <c r="E3947" s="6">
        <v>6618</v>
      </c>
      <c r="F3947" s="9">
        <v>0.8</v>
      </c>
      <c r="H3947" s="11"/>
      <c r="I3947" s="11"/>
      <c r="J3947" s="11"/>
    </row>
    <row r="3948" spans="1:10" ht="15.75" x14ac:dyDescent="0.3">
      <c r="A3948" s="12" t="str">
        <f>HYPERLINK("https://parts-sales.ru/parts/MAN/85413360012","85.41336-0012")</f>
        <v>85.41336-0012</v>
      </c>
      <c r="B3948" s="12" t="str">
        <f>HYPERLINK("https://parts-sales.ru/parts/MAN/85413360012","Призматическая шпонка 80X40,0/34,0X172X1")</f>
        <v>Призматическая шпонка 80X40,0/34,0X172X1</v>
      </c>
      <c r="C3948" s="3" t="s">
        <v>32</v>
      </c>
      <c r="D3948" s="4">
        <v>22855.200000000001</v>
      </c>
      <c r="E3948" s="4">
        <v>4611</v>
      </c>
      <c r="F3948" s="8">
        <v>0.8</v>
      </c>
      <c r="H3948" s="11"/>
      <c r="I3948" s="11"/>
      <c r="J3948" s="11"/>
    </row>
    <row r="3949" spans="1:10" ht="15.75" x14ac:dyDescent="0.3">
      <c r="A3949" s="13" t="str">
        <f>HYPERLINK("https://parts-sales.ru/parts/MAN/85413360021","85.41336-0021")</f>
        <v>85.41336-0021</v>
      </c>
      <c r="B3949" s="13" t="str">
        <f>HYPERLINK("https://parts-sales.ru/parts/MAN/85413360021","Подкладка рессоры")</f>
        <v>Подкладка рессоры</v>
      </c>
      <c r="C3949" s="5" t="s">
        <v>32</v>
      </c>
      <c r="D3949" s="6">
        <v>1378.8</v>
      </c>
      <c r="E3949" s="6">
        <v>421</v>
      </c>
      <c r="F3949" s="9">
        <v>0.69</v>
      </c>
      <c r="H3949" s="11"/>
      <c r="I3949" s="11"/>
      <c r="J3949" s="11"/>
    </row>
    <row r="3950" spans="1:10" ht="15.75" x14ac:dyDescent="0.3">
      <c r="A3950" s="12" t="str">
        <f>HYPERLINK("https://parts-sales.ru/parts/MAN/85416150003","85.41615-0003")</f>
        <v>85.41615-0003</v>
      </c>
      <c r="B3950" s="12" t="str">
        <f>HYPERLINK("https://parts-sales.ru/parts/MAN/85416150003","Защитны хомут")</f>
        <v>Защитны хомут</v>
      </c>
      <c r="C3950" s="3" t="s">
        <v>32</v>
      </c>
      <c r="D3950" s="4">
        <v>1502.4</v>
      </c>
      <c r="E3950" s="4">
        <v>346</v>
      </c>
      <c r="F3950" s="8">
        <v>0.77</v>
      </c>
      <c r="H3950" s="11"/>
      <c r="I3950" s="11"/>
      <c r="J3950" s="11"/>
    </row>
    <row r="3951" spans="1:10" ht="15.75" x14ac:dyDescent="0.3">
      <c r="A3951" s="13" t="str">
        <f>HYPERLINK("https://parts-sales.ru/parts/MAN/85417010064","85.41701-0064")</f>
        <v>85.41701-0064</v>
      </c>
      <c r="B3951" s="13" t="str">
        <f>HYPERLINK("https://parts-sales.ru/parts/MAN/85417010064","Держатель")</f>
        <v>Держатель</v>
      </c>
      <c r="C3951" s="5" t="s">
        <v>32</v>
      </c>
      <c r="D3951" s="6">
        <v>3586.8</v>
      </c>
      <c r="E3951" s="6">
        <v>109</v>
      </c>
      <c r="F3951" s="9">
        <v>0.97</v>
      </c>
      <c r="H3951" s="11"/>
      <c r="I3951" s="11"/>
      <c r="J3951" s="11"/>
    </row>
    <row r="3952" spans="1:10" ht="15.75" x14ac:dyDescent="0.3">
      <c r="A3952" s="12" t="str">
        <f>HYPERLINK("https://parts-sales.ru/parts/MAN/85417015052","85.41701-5052")</f>
        <v>85.41701-5052</v>
      </c>
      <c r="B3952" s="12" t="str">
        <f>HYPERLINK("https://parts-sales.ru/parts/MAN/85417015052","Консоль")</f>
        <v>Консоль</v>
      </c>
      <c r="C3952" s="3" t="s">
        <v>32</v>
      </c>
      <c r="D3952" s="4">
        <v>27972</v>
      </c>
      <c r="E3952" s="4">
        <v>4508</v>
      </c>
      <c r="F3952" s="8">
        <v>0.84</v>
      </c>
      <c r="H3952" s="11"/>
      <c r="I3952" s="11"/>
      <c r="J3952" s="11"/>
    </row>
    <row r="3953" spans="1:10" ht="15.75" x14ac:dyDescent="0.3">
      <c r="A3953" s="13" t="str">
        <f>HYPERLINK("https://parts-sales.ru/parts/MAN/85417206022","85.41720-6022")</f>
        <v>85.41720-6022</v>
      </c>
      <c r="B3953" s="13" t="str">
        <f>HYPERLINK("https://parts-sales.ru/parts/MAN/85417206022","Кронштейн подшипника")</f>
        <v>Кронштейн подшипника</v>
      </c>
      <c r="C3953" s="5" t="s">
        <v>32</v>
      </c>
      <c r="D3953" s="6">
        <v>82718.399999999994</v>
      </c>
      <c r="E3953" s="6">
        <v>11355</v>
      </c>
      <c r="F3953" s="9">
        <v>0.86</v>
      </c>
      <c r="H3953" s="11"/>
      <c r="I3953" s="11"/>
      <c r="J3953" s="11"/>
    </row>
    <row r="3954" spans="1:10" ht="15.75" x14ac:dyDescent="0.3">
      <c r="A3954" s="12" t="str">
        <f>HYPERLINK("https://parts-sales.ru/parts/MAN/85417206024","85.41720-6024")</f>
        <v>85.41720-6024</v>
      </c>
      <c r="B3954" s="12" t="str">
        <f>HYPERLINK("https://parts-sales.ru/parts/MAN/85417206024","Кронштейн подшипника")</f>
        <v>Кронштейн подшипника</v>
      </c>
      <c r="C3954" s="3" t="s">
        <v>32</v>
      </c>
      <c r="D3954" s="4">
        <v>11931.6</v>
      </c>
      <c r="E3954" s="4">
        <v>1002</v>
      </c>
      <c r="F3954" s="8">
        <v>0.92</v>
      </c>
      <c r="H3954" s="11"/>
      <c r="I3954" s="11"/>
      <c r="J3954" s="11"/>
    </row>
    <row r="3955" spans="1:10" ht="15.75" x14ac:dyDescent="0.3">
      <c r="A3955" s="13" t="str">
        <f>HYPERLINK("https://parts-sales.ru/parts/MAN/85417400002","85.41740-0002")</f>
        <v>85.41740-0002</v>
      </c>
      <c r="B3955" s="13" t="str">
        <f>HYPERLINK("https://parts-sales.ru/parts/MAN/85417400002","Плата")</f>
        <v>Плата</v>
      </c>
      <c r="C3955" s="5" t="s">
        <v>32</v>
      </c>
      <c r="D3955" s="6">
        <v>754.8</v>
      </c>
      <c r="E3955" s="6">
        <v>17</v>
      </c>
      <c r="F3955" s="9">
        <v>0.98</v>
      </c>
      <c r="H3955" s="11"/>
      <c r="I3955" s="11"/>
      <c r="J3955" s="11"/>
    </row>
    <row r="3956" spans="1:10" ht="15.75" x14ac:dyDescent="0.3">
      <c r="A3956" s="12" t="str">
        <f>HYPERLINK("https://parts-sales.ru/parts/MAN/85417400004","85.41740-0004")</f>
        <v>85.41740-0004</v>
      </c>
      <c r="B3956" s="12" t="str">
        <f>HYPERLINK("https://parts-sales.ru/parts/MAN/85417400004","Компенсационная шайба")</f>
        <v>Компенсационная шайба</v>
      </c>
      <c r="C3956" s="3" t="s">
        <v>32</v>
      </c>
      <c r="D3956" s="4">
        <v>651.6</v>
      </c>
      <c r="E3956" s="4">
        <v>32</v>
      </c>
      <c r="F3956" s="8">
        <v>0.95</v>
      </c>
      <c r="H3956" s="11"/>
      <c r="I3956" s="11"/>
      <c r="J3956" s="11"/>
    </row>
    <row r="3957" spans="1:10" ht="15.75" x14ac:dyDescent="0.3">
      <c r="A3957" s="13" t="str">
        <f>HYPERLINK("https://parts-sales.ru/parts/MAN/85417400005","85.41740-0005")</f>
        <v>85.41740-0005</v>
      </c>
      <c r="B3957" s="13" t="str">
        <f>HYPERLINK("https://parts-sales.ru/parts/MAN/85417400005","Компенсационная шайба")</f>
        <v>Компенсационная шайба</v>
      </c>
      <c r="C3957" s="5" t="s">
        <v>32</v>
      </c>
      <c r="D3957" s="6">
        <v>543.6</v>
      </c>
      <c r="E3957" s="6">
        <v>44</v>
      </c>
      <c r="F3957" s="9">
        <v>0.92</v>
      </c>
      <c r="H3957" s="11"/>
      <c r="I3957" s="11"/>
      <c r="J3957" s="11"/>
    </row>
    <row r="3958" spans="1:10" ht="15.75" x14ac:dyDescent="0.3">
      <c r="A3958" s="12" t="str">
        <f>HYPERLINK("https://parts-sales.ru/parts/MAN/85418010103","85.41801-0103")</f>
        <v>85.41801-0103</v>
      </c>
      <c r="B3958" s="12" t="str">
        <f>HYPERLINK("https://parts-sales.ru/parts/MAN/85418010103","Несущая балка")</f>
        <v>Несущая балка</v>
      </c>
      <c r="C3958" s="3" t="s">
        <v>32</v>
      </c>
      <c r="D3958" s="4">
        <v>19419.47</v>
      </c>
      <c r="E3958" s="4">
        <v>11439</v>
      </c>
      <c r="F3958" s="8">
        <v>0.41</v>
      </c>
      <c r="H3958" s="11"/>
      <c r="I3958" s="11"/>
      <c r="J3958" s="11"/>
    </row>
    <row r="3959" spans="1:10" ht="15.75" x14ac:dyDescent="0.3">
      <c r="A3959" s="13" t="str">
        <f>HYPERLINK("https://parts-sales.ru/parts/MAN/85434070003","85.43407-0003")</f>
        <v>85.43407-0003</v>
      </c>
      <c r="B3959" s="13" t="str">
        <f>HYPERLINK("https://parts-sales.ru/parts/MAN/85434070003","Промежуточный фланец")</f>
        <v>Промежуточный фланец</v>
      </c>
      <c r="C3959" s="5" t="s">
        <v>42</v>
      </c>
      <c r="D3959" s="6">
        <v>3558</v>
      </c>
      <c r="E3959" s="6">
        <v>881</v>
      </c>
      <c r="F3959" s="9">
        <v>0.75</v>
      </c>
      <c r="H3959" s="11"/>
      <c r="I3959" s="11"/>
      <c r="J3959" s="11"/>
    </row>
    <row r="3960" spans="1:10" ht="15.75" x14ac:dyDescent="0.3">
      <c r="A3960" s="12" t="str">
        <f>HYPERLINK("https://parts-sales.ru/parts/MAN/85437016011","85.43701-6011")</f>
        <v>85.43701-6011</v>
      </c>
      <c r="B3960" s="12" t="str">
        <f>HYPERLINK("https://parts-sales.ru/parts/MAN/85437016011","Амортизатор")</f>
        <v>Амортизатор</v>
      </c>
      <c r="C3960" s="3" t="s">
        <v>42</v>
      </c>
      <c r="D3960" s="4">
        <v>15716.2</v>
      </c>
      <c r="E3960" s="4">
        <v>9423</v>
      </c>
      <c r="F3960" s="8">
        <v>0.4</v>
      </c>
      <c r="H3960" s="11"/>
      <c r="I3960" s="11"/>
      <c r="J3960" s="11"/>
    </row>
    <row r="3961" spans="1:10" ht="15.75" x14ac:dyDescent="0.3">
      <c r="A3961" s="13" t="str">
        <f>HYPERLINK("https://parts-sales.ru/parts/MAN/85437040002","85.43704-0002")</f>
        <v>85.43704-0002</v>
      </c>
      <c r="B3961" s="13" t="str">
        <f>HYPERLINK("https://parts-sales.ru/parts/MAN/85437040002","Втулка подшипника")</f>
        <v>Втулка подшипника</v>
      </c>
      <c r="C3961" s="5" t="s">
        <v>42</v>
      </c>
      <c r="D3961" s="6">
        <v>5350.8</v>
      </c>
      <c r="E3961" s="6">
        <v>1397</v>
      </c>
      <c r="F3961" s="9">
        <v>0.74</v>
      </c>
      <c r="H3961" s="11"/>
      <c r="I3961" s="11"/>
      <c r="J3961" s="11"/>
    </row>
    <row r="3962" spans="1:10" ht="15.75" x14ac:dyDescent="0.3">
      <c r="A3962" s="12" t="str">
        <f>HYPERLINK("https://parts-sales.ru/parts/MAN/85437040003","85.43704-0003")</f>
        <v>85.43704-0003</v>
      </c>
      <c r="B3962" s="12" t="str">
        <f>HYPERLINK("https://parts-sales.ru/parts/MAN/85437040003","Втулка подшипника")</f>
        <v>Втулка подшипника</v>
      </c>
      <c r="C3962" s="3" t="s">
        <v>42</v>
      </c>
      <c r="D3962" s="4">
        <v>8949.07</v>
      </c>
      <c r="E3962" s="4">
        <v>5365</v>
      </c>
      <c r="F3962" s="8">
        <v>0.4</v>
      </c>
      <c r="H3962" s="11"/>
      <c r="I3962" s="11"/>
      <c r="J3962" s="11"/>
    </row>
    <row r="3963" spans="1:10" ht="15.75" x14ac:dyDescent="0.3">
      <c r="A3963" s="13" t="str">
        <f>HYPERLINK("https://parts-sales.ru/parts/MAN/85437040005","85.43704-0005")</f>
        <v>85.43704-0005</v>
      </c>
      <c r="B3963" s="13" t="str">
        <f>HYPERLINK("https://parts-sales.ru/parts/MAN/85437040005","Втулка подшипника")</f>
        <v>Втулка подшипника</v>
      </c>
      <c r="C3963" s="5" t="s">
        <v>42</v>
      </c>
      <c r="D3963" s="6">
        <v>8524.7999999999993</v>
      </c>
      <c r="E3963" s="6">
        <v>2860</v>
      </c>
      <c r="F3963" s="9">
        <v>0.66</v>
      </c>
      <c r="H3963" s="11"/>
      <c r="I3963" s="11"/>
      <c r="J3963" s="11"/>
    </row>
    <row r="3964" spans="1:10" ht="15.75" x14ac:dyDescent="0.3">
      <c r="A3964" s="12" t="str">
        <f>HYPERLINK("https://parts-sales.ru/parts/MAN/85437055021","85.43705-5021")</f>
        <v>85.43705-5021</v>
      </c>
      <c r="B3964" s="12" t="str">
        <f>HYPERLINK("https://parts-sales.ru/parts/MAN/85437055021","Держатель")</f>
        <v>Держатель</v>
      </c>
      <c r="C3964" s="3" t="s">
        <v>42</v>
      </c>
      <c r="D3964" s="4">
        <v>22338</v>
      </c>
      <c r="E3964" s="4">
        <v>4211</v>
      </c>
      <c r="F3964" s="8">
        <v>0.81</v>
      </c>
      <c r="H3964" s="11"/>
      <c r="I3964" s="11"/>
      <c r="J3964" s="11"/>
    </row>
    <row r="3965" spans="1:10" ht="15.75" x14ac:dyDescent="0.3">
      <c r="A3965" s="13" t="str">
        <f>HYPERLINK("https://parts-sales.ru/parts/MAN/85437056001","85.43705-6001")</f>
        <v>85.43705-6001</v>
      </c>
      <c r="B3965" s="13" t="str">
        <f>HYPERLINK("https://parts-sales.ru/parts/MAN/85437056001","Кронштейн подшипника")</f>
        <v>Кронштейн подшипника</v>
      </c>
      <c r="C3965" s="5" t="s">
        <v>42</v>
      </c>
      <c r="D3965" s="6">
        <v>13026</v>
      </c>
      <c r="E3965" s="6">
        <v>1572</v>
      </c>
      <c r="F3965" s="9">
        <v>0.88</v>
      </c>
      <c r="H3965" s="11"/>
      <c r="I3965" s="11"/>
      <c r="J3965" s="11"/>
    </row>
    <row r="3966" spans="1:10" ht="15.75" x14ac:dyDescent="0.3">
      <c r="A3966" s="12" t="str">
        <f>HYPERLINK("https://parts-sales.ru/parts/MAN/85437156045","85.43715-6045")</f>
        <v>85.43715-6045</v>
      </c>
      <c r="B3966" s="12" t="str">
        <f>HYPERLINK("https://parts-sales.ru/parts/MAN/85437156045","Стабилизатор")</f>
        <v>Стабилизатор</v>
      </c>
      <c r="C3966" s="3" t="s">
        <v>42</v>
      </c>
      <c r="D3966" s="4">
        <v>33303.599999999999</v>
      </c>
      <c r="E3966" s="4">
        <v>1627</v>
      </c>
      <c r="F3966" s="8">
        <v>0.95</v>
      </c>
      <c r="H3966" s="11"/>
      <c r="I3966" s="11"/>
      <c r="J3966" s="11"/>
    </row>
    <row r="3967" spans="1:10" ht="15.75" x14ac:dyDescent="0.3">
      <c r="A3967" s="13" t="str">
        <f>HYPERLINK("https://parts-sales.ru/parts/MAN/85437220007","85.43722-0007")</f>
        <v>85.43722-0007</v>
      </c>
      <c r="B3967" s="13" t="str">
        <f>HYPERLINK("https://parts-sales.ru/parts/MAN/85437220007","Втулка подшипника")</f>
        <v>Втулка подшипника</v>
      </c>
      <c r="C3967" s="5" t="s">
        <v>42</v>
      </c>
      <c r="D3967" s="6">
        <v>6464.4</v>
      </c>
      <c r="E3967" s="6">
        <v>2223</v>
      </c>
      <c r="F3967" s="9">
        <v>0.66</v>
      </c>
      <c r="H3967" s="11"/>
      <c r="I3967" s="11"/>
      <c r="J3967" s="11"/>
    </row>
    <row r="3968" spans="1:10" ht="15.75" x14ac:dyDescent="0.3">
      <c r="A3968" s="12" t="str">
        <f>HYPERLINK("https://parts-sales.ru/parts/MAN/85437220009","85.43722-0009")</f>
        <v>85.43722-0009</v>
      </c>
      <c r="B3968" s="12" t="str">
        <f>HYPERLINK("https://parts-sales.ru/parts/MAN/85437220009","Втулка")</f>
        <v>Втулка</v>
      </c>
      <c r="C3968" s="3" t="s">
        <v>42</v>
      </c>
      <c r="D3968" s="4">
        <v>9822</v>
      </c>
      <c r="E3968" s="4">
        <v>2468</v>
      </c>
      <c r="F3968" s="8">
        <v>0.75</v>
      </c>
      <c r="H3968" s="11"/>
      <c r="I3968" s="11"/>
      <c r="J3968" s="11"/>
    </row>
    <row r="3969" spans="1:10" ht="15.75" x14ac:dyDescent="0.3">
      <c r="A3969" s="13" t="str">
        <f>HYPERLINK("https://parts-sales.ru/parts/MAN/85461310005","85.46131-0005")</f>
        <v>85.46131-0005</v>
      </c>
      <c r="B3969" s="13" t="str">
        <f>HYPERLINK("https://parts-sales.ru/parts/MAN/85461310005","Направляющее кольцо длинный")</f>
        <v>Направляющее кольцо длинный</v>
      </c>
      <c r="C3969" s="5" t="s">
        <v>37</v>
      </c>
      <c r="D3969" s="6">
        <v>524.4</v>
      </c>
      <c r="E3969" s="6">
        <v>186</v>
      </c>
      <c r="F3969" s="9">
        <v>0.65</v>
      </c>
      <c r="H3969" s="11"/>
      <c r="I3969" s="11"/>
      <c r="J3969" s="11"/>
    </row>
    <row r="3970" spans="1:10" ht="15.75" x14ac:dyDescent="0.3">
      <c r="A3970" s="12" t="str">
        <f>HYPERLINK("https://parts-sales.ru/parts/MAN/85461320008","85.46132-0008")</f>
        <v>85.46132-0008</v>
      </c>
      <c r="B3970" s="12" t="str">
        <f>HYPERLINK("https://parts-sales.ru/parts/MAN/85461320008","Манжета внешний")</f>
        <v>Манжета внешний</v>
      </c>
      <c r="C3970" s="3" t="s">
        <v>37</v>
      </c>
      <c r="D3970" s="4">
        <v>1624.8</v>
      </c>
      <c r="E3970" s="4">
        <v>575</v>
      </c>
      <c r="F3970" s="8">
        <v>0.65</v>
      </c>
      <c r="H3970" s="11"/>
      <c r="I3970" s="11"/>
      <c r="J3970" s="11"/>
    </row>
    <row r="3971" spans="1:10" ht="15.75" x14ac:dyDescent="0.3">
      <c r="A3971" s="13" t="str">
        <f>HYPERLINK("https://parts-sales.ru/parts/MAN/85466106062","85.46610-6062")</f>
        <v>85.46610-6062</v>
      </c>
      <c r="B3971" s="13" t="str">
        <f>HYPERLINK("https://parts-sales.ru/parts/MAN/85466106062","Продольная рулевая тяга LM")</f>
        <v>Продольная рулевая тяга LM</v>
      </c>
      <c r="C3971" s="5" t="s">
        <v>37</v>
      </c>
      <c r="D3971" s="6">
        <v>63705.599999999999</v>
      </c>
      <c r="E3971" s="6">
        <v>10923</v>
      </c>
      <c r="F3971" s="9">
        <v>0.83</v>
      </c>
      <c r="H3971" s="11"/>
      <c r="I3971" s="11"/>
      <c r="J3971" s="11"/>
    </row>
    <row r="3972" spans="1:10" ht="15.75" x14ac:dyDescent="0.3">
      <c r="A3972" s="12" t="str">
        <f>HYPERLINK("https://parts-sales.ru/parts/MAN/85466106246","85.46610-6246")</f>
        <v>85.46610-6246</v>
      </c>
      <c r="B3972" s="12" t="str">
        <f>HYPERLINK("https://parts-sales.ru/parts/MAN/85466106246","Продольная рулевая тяга TRW")</f>
        <v>Продольная рулевая тяга TRW</v>
      </c>
      <c r="C3972" s="3" t="s">
        <v>37</v>
      </c>
      <c r="D3972" s="4">
        <v>15903.43</v>
      </c>
      <c r="E3972" s="4">
        <v>9542</v>
      </c>
      <c r="F3972" s="8">
        <v>0.4</v>
      </c>
      <c r="H3972" s="11"/>
      <c r="I3972" s="11"/>
      <c r="J3972" s="11"/>
    </row>
    <row r="3973" spans="1:10" ht="15.75" x14ac:dyDescent="0.3">
      <c r="A3973" s="13" t="str">
        <f>HYPERLINK("https://parts-sales.ru/parts/MAN/81978122366","81.97812-2366")</f>
        <v>81.97812-2366</v>
      </c>
      <c r="B3973" s="13" t="str">
        <f>HYPERLINK("https://parts-sales.ru/parts/MAN/81978122366","Самоприклеивающаяся табличка 38X16/PAP-W")</f>
        <v>Самоприклеивающаяся табличка 38X16/PAP-W</v>
      </c>
      <c r="C3973" s="5" t="s">
        <v>12</v>
      </c>
      <c r="D3973" s="6">
        <v>436.8</v>
      </c>
      <c r="E3973" s="6">
        <v>69</v>
      </c>
      <c r="F3973" s="9">
        <v>0.84</v>
      </c>
      <c r="H3973" s="11"/>
      <c r="I3973" s="11"/>
      <c r="J3973" s="11"/>
    </row>
    <row r="3974" spans="1:10" ht="15.75" x14ac:dyDescent="0.3">
      <c r="A3974" s="12" t="str">
        <f>HYPERLINK("https://parts-sales.ru/parts/MAN/81978122443","81.97812-2443")</f>
        <v>81.97812-2443</v>
      </c>
      <c r="B3974" s="12" t="str">
        <f>HYPERLINK("https://parts-sales.ru/parts/MAN/81978122443","Самоприклеивающаяся табличка 85X74/KST-S")</f>
        <v>Самоприклеивающаяся табличка 85X74/KST-S</v>
      </c>
      <c r="C3974" s="3" t="s">
        <v>12</v>
      </c>
      <c r="D3974" s="4">
        <v>418.8</v>
      </c>
      <c r="E3974" s="4">
        <v>44</v>
      </c>
      <c r="F3974" s="8">
        <v>0.89</v>
      </c>
      <c r="H3974" s="11"/>
      <c r="I3974" s="11"/>
      <c r="J3974" s="11"/>
    </row>
    <row r="3975" spans="1:10" ht="15.75" x14ac:dyDescent="0.3">
      <c r="A3975" s="13" t="str">
        <f>HYPERLINK("https://parts-sales.ru/parts/MAN/81978122448","81.97812-2448")</f>
        <v>81.97812-2448</v>
      </c>
      <c r="B3975" s="13" t="str">
        <f>HYPERLINK("https://parts-sales.ru/parts/MAN/81978122448","Указательная табличка 130X68/KST-SK-SW/W")</f>
        <v>Указательная табличка 130X68/KST-SK-SW/W</v>
      </c>
      <c r="C3975" s="5" t="s">
        <v>12</v>
      </c>
      <c r="D3975" s="6">
        <v>614.4</v>
      </c>
      <c r="E3975" s="6">
        <v>13</v>
      </c>
      <c r="F3975" s="9">
        <v>0.98</v>
      </c>
      <c r="H3975" s="11"/>
      <c r="I3975" s="11"/>
      <c r="J3975" s="11"/>
    </row>
    <row r="3976" spans="1:10" ht="15.75" x14ac:dyDescent="0.3">
      <c r="A3976" s="12" t="str">
        <f>HYPERLINK("https://parts-sales.ru/parts/MAN/85900100002","85.90010-0002")</f>
        <v>85.90010-0002</v>
      </c>
      <c r="B3976" s="12" t="str">
        <f>HYPERLINK("https://parts-sales.ru/parts/MAN/85900100002","Конусный болт с 6-гр. головкой M16X1,5X1")</f>
        <v>Конусный болт с 6-гр. головкой M16X1,5X1</v>
      </c>
      <c r="C3976" s="3" t="s">
        <v>6</v>
      </c>
      <c r="D3976" s="4">
        <v>2740.8</v>
      </c>
      <c r="E3976" s="4">
        <v>1189</v>
      </c>
      <c r="F3976" s="8">
        <v>0.56999999999999995</v>
      </c>
      <c r="H3976" s="11"/>
      <c r="I3976" s="11"/>
      <c r="J3976" s="11"/>
    </row>
    <row r="3977" spans="1:10" ht="15.75" x14ac:dyDescent="0.3">
      <c r="A3977" s="13" t="str">
        <f>HYPERLINK("https://parts-sales.ru/parts/MAN/85907100010","85.90710-0010")</f>
        <v>85.90710-0010</v>
      </c>
      <c r="B3977" s="13" t="str">
        <f>HYPERLINK("https://parts-sales.ru/parts/MAN/85907100010","Шайба 18,2X44X5-ST50-2-A3C")</f>
        <v>Шайба 18,2X44X5-ST50-2-A3C</v>
      </c>
      <c r="C3977" s="5" t="s">
        <v>6</v>
      </c>
      <c r="D3977" s="6">
        <v>984</v>
      </c>
      <c r="E3977" s="6">
        <v>29</v>
      </c>
      <c r="F3977" s="9">
        <v>0.97</v>
      </c>
      <c r="H3977" s="11"/>
      <c r="I3977" s="11"/>
      <c r="J3977" s="11"/>
    </row>
    <row r="3978" spans="1:10" ht="15.75" x14ac:dyDescent="0.3">
      <c r="A3978" s="12" t="str">
        <f>HYPERLINK("https://parts-sales.ru/parts/MAN/85907100022","85.90710-0022")</f>
        <v>85.90710-0022</v>
      </c>
      <c r="B3978" s="12" t="str">
        <f>HYPERLINK("https://parts-sales.ru/parts/MAN/85907100022","Шайба 14,2X44X5-S355MC-MAN183-B1")</f>
        <v>Шайба 14,2X44X5-S355MC-MAN183-B1</v>
      </c>
      <c r="C3978" s="3" t="s">
        <v>6</v>
      </c>
      <c r="D3978" s="4">
        <v>543.6</v>
      </c>
      <c r="E3978" s="4">
        <v>29</v>
      </c>
      <c r="F3978" s="8">
        <v>0.95</v>
      </c>
      <c r="H3978" s="11"/>
      <c r="I3978" s="11"/>
      <c r="J3978" s="11"/>
    </row>
    <row r="3979" spans="1:10" ht="15.75" x14ac:dyDescent="0.3">
      <c r="A3979" s="13" t="str">
        <f>HYPERLINK("https://parts-sales.ru/parts/MAN/81978122489","81.97812-2489")</f>
        <v>81.97812-2489</v>
      </c>
      <c r="B3979" s="13" t="str">
        <f>HYPERLINK("https://parts-sales.ru/parts/MAN/81978122489","Самоприклеивающаяся табличка Ограничение")</f>
        <v>Самоприклеивающаяся табличка Ограничение</v>
      </c>
      <c r="C3979" s="5" t="s">
        <v>12</v>
      </c>
      <c r="D3979" s="6">
        <v>403.2</v>
      </c>
      <c r="E3979" s="6">
        <v>81</v>
      </c>
      <c r="F3979" s="9">
        <v>0.8</v>
      </c>
      <c r="H3979" s="11"/>
      <c r="I3979" s="11"/>
      <c r="J3979" s="11"/>
    </row>
    <row r="3980" spans="1:10" ht="15.75" x14ac:dyDescent="0.3">
      <c r="A3980" s="12" t="str">
        <f>HYPERLINK("https://parts-sales.ru/parts/MAN/81978122531","81.97812-2531")</f>
        <v>81.97812-2531</v>
      </c>
      <c r="B3980" s="12" t="str">
        <f>HYPERLINK("https://parts-sales.ru/parts/MAN/81978122531","Указательная табличка")</f>
        <v>Указательная табличка</v>
      </c>
      <c r="C3980" s="3" t="s">
        <v>12</v>
      </c>
      <c r="D3980" s="4">
        <v>1310.4000000000001</v>
      </c>
      <c r="E3980" s="4">
        <v>14</v>
      </c>
      <c r="F3980" s="8">
        <v>0.99</v>
      </c>
      <c r="H3980" s="11"/>
      <c r="I3980" s="11"/>
      <c r="J3980" s="11"/>
    </row>
    <row r="3981" spans="1:10" ht="15.75" x14ac:dyDescent="0.3">
      <c r="A3981" s="13" t="str">
        <f>HYPERLINK("https://parts-sales.ru/parts/MAN/81978122584","81.97812-2584")</f>
        <v>81.97812-2584</v>
      </c>
      <c r="B3981" s="13" t="str">
        <f>HYPERLINK("https://parts-sales.ru/parts/MAN/81978122584","Самоприклеивающаяся табличка")</f>
        <v>Самоприклеивающаяся табличка</v>
      </c>
      <c r="C3981" s="5" t="s">
        <v>12</v>
      </c>
      <c r="D3981" s="6">
        <v>1264.8</v>
      </c>
      <c r="E3981" s="6">
        <v>26</v>
      </c>
      <c r="F3981" s="9">
        <v>0.98</v>
      </c>
      <c r="H3981" s="11"/>
      <c r="I3981" s="11"/>
      <c r="J3981" s="11"/>
    </row>
    <row r="3982" spans="1:10" ht="15.75" x14ac:dyDescent="0.3">
      <c r="A3982" s="12" t="str">
        <f>HYPERLINK("https://parts-sales.ru/parts/MAN/81978122607","81.97812-2607")</f>
        <v>81.97812-2607</v>
      </c>
      <c r="B3982" s="12" t="str">
        <f>HYPERLINK("https://parts-sales.ru/parts/MAN/81978122607","Указательная табличка")</f>
        <v>Указательная табличка</v>
      </c>
      <c r="C3982" s="3" t="s">
        <v>12</v>
      </c>
      <c r="D3982" s="4">
        <v>754.8</v>
      </c>
      <c r="E3982" s="4">
        <v>13</v>
      </c>
      <c r="F3982" s="8">
        <v>0.98</v>
      </c>
      <c r="H3982" s="11"/>
      <c r="I3982" s="11"/>
      <c r="J3982" s="11"/>
    </row>
    <row r="3983" spans="1:10" ht="15.75" x14ac:dyDescent="0.3">
      <c r="A3983" s="13" t="str">
        <f>HYPERLINK("https://parts-sales.ru/parts/MAN/81978122639","81.97812-2639")</f>
        <v>81.97812-2639</v>
      </c>
      <c r="B3983" s="13" t="str">
        <f>HYPERLINK("https://parts-sales.ru/parts/MAN/81978122639","Самоприклеивающаяся табличка 130x50 MAN")</f>
        <v>Самоприклеивающаяся табличка 130x50 MAN</v>
      </c>
      <c r="C3983" s="5" t="s">
        <v>12</v>
      </c>
      <c r="D3983" s="6">
        <v>186</v>
      </c>
      <c r="E3983" s="6">
        <v>22</v>
      </c>
      <c r="F3983" s="9">
        <v>0.88</v>
      </c>
      <c r="H3983" s="11"/>
      <c r="I3983" s="11"/>
      <c r="J3983" s="11"/>
    </row>
    <row r="3984" spans="1:10" ht="15.75" x14ac:dyDescent="0.3">
      <c r="A3984" s="12" t="str">
        <f>HYPERLINK("https://parts-sales.ru/parts/MAN/81978122647","81.97812-2647")</f>
        <v>81.97812-2647</v>
      </c>
      <c r="B3984" s="12" t="str">
        <f>HYPERLINK("https://parts-sales.ru/parts/MAN/81978122647","Указательная табличка")</f>
        <v>Указательная табличка</v>
      </c>
      <c r="C3984" s="3" t="s">
        <v>12</v>
      </c>
      <c r="D3984" s="4">
        <v>337.2</v>
      </c>
      <c r="E3984" s="4">
        <v>14</v>
      </c>
      <c r="F3984" s="8">
        <v>0.96</v>
      </c>
      <c r="H3984" s="11"/>
      <c r="I3984" s="11"/>
      <c r="J3984" s="11"/>
    </row>
    <row r="3985" spans="1:10" ht="15.75" x14ac:dyDescent="0.3">
      <c r="A3985" s="13" t="str">
        <f>HYPERLINK("https://parts-sales.ru/parts/MAN/81978122653","81.97812-2653")</f>
        <v>81.97812-2653</v>
      </c>
      <c r="B3985" s="13" t="str">
        <f>HYPERLINK("https://parts-sales.ru/parts/MAN/81978122653","Самоприклеивающаяся табличка")</f>
        <v>Самоприклеивающаяся табличка</v>
      </c>
      <c r="C3985" s="5" t="s">
        <v>12</v>
      </c>
      <c r="D3985" s="6">
        <v>171.6</v>
      </c>
      <c r="E3985" s="6">
        <v>33</v>
      </c>
      <c r="F3985" s="9">
        <v>0.81</v>
      </c>
      <c r="H3985" s="11"/>
      <c r="I3985" s="11"/>
      <c r="J3985" s="11"/>
    </row>
    <row r="3986" spans="1:10" ht="15.75" x14ac:dyDescent="0.3">
      <c r="A3986" s="12" t="str">
        <f>HYPERLINK("https://parts-sales.ru/parts/MAN/81978122669","81.97812-2669")</f>
        <v>81.97812-2669</v>
      </c>
      <c r="B3986" s="12" t="str">
        <f>HYPERLINK("https://parts-sales.ru/parts/MAN/81978122669","Наклейка X-Lion")</f>
        <v>Наклейка X-Lion</v>
      </c>
      <c r="C3986" s="3" t="s">
        <v>12</v>
      </c>
      <c r="D3986" s="4">
        <v>23461.200000000001</v>
      </c>
      <c r="E3986" s="4">
        <v>5174</v>
      </c>
      <c r="F3986" s="8">
        <v>0.78</v>
      </c>
      <c r="H3986" s="11"/>
      <c r="I3986" s="11"/>
      <c r="J3986" s="11"/>
    </row>
    <row r="3987" spans="1:10" ht="15.75" x14ac:dyDescent="0.3">
      <c r="A3987" s="13" t="str">
        <f>HYPERLINK("https://parts-sales.ru/parts/MAN/81978402081","81.97840-2081")</f>
        <v>81.97840-2081</v>
      </c>
      <c r="B3987" s="13" t="str">
        <f>HYPERLINK("https://parts-sales.ru/parts/MAN/81978402081","Буква M")</f>
        <v>Буква M</v>
      </c>
      <c r="C3987" s="5" t="s">
        <v>12</v>
      </c>
      <c r="D3987" s="6">
        <v>754.8</v>
      </c>
      <c r="E3987" s="6">
        <v>250</v>
      </c>
      <c r="F3987" s="9">
        <v>0.67</v>
      </c>
      <c r="H3987" s="11"/>
      <c r="I3987" s="11"/>
      <c r="J3987" s="11"/>
    </row>
    <row r="3988" spans="1:10" ht="15.75" x14ac:dyDescent="0.3">
      <c r="A3988" s="12" t="str">
        <f>HYPERLINK("https://parts-sales.ru/parts/MAN/81978402104","81.97840-2104")</f>
        <v>81.97840-2104</v>
      </c>
      <c r="B3988" s="12" t="str">
        <f>HYPERLINK("https://parts-sales.ru/parts/MAN/81978402104","Буква N")</f>
        <v>Буква N</v>
      </c>
      <c r="C3988" s="3" t="s">
        <v>12</v>
      </c>
      <c r="D3988" s="4">
        <v>10176</v>
      </c>
      <c r="E3988" s="4">
        <v>2001</v>
      </c>
      <c r="F3988" s="8">
        <v>0.8</v>
      </c>
      <c r="H3988" s="11"/>
      <c r="I3988" s="11"/>
      <c r="J3988" s="11"/>
    </row>
    <row r="3989" spans="1:10" ht="15.75" x14ac:dyDescent="0.3">
      <c r="A3989" s="13" t="str">
        <f>HYPERLINK("https://parts-sales.ru/parts/MAN/81978402113","81.97840-2113")</f>
        <v>81.97840-2113</v>
      </c>
      <c r="B3989" s="13" t="str">
        <f>HYPERLINK("https://parts-sales.ru/parts/MAN/81978402113","Буква N")</f>
        <v>Буква N</v>
      </c>
      <c r="C3989" s="5" t="s">
        <v>12</v>
      </c>
      <c r="D3989" s="6">
        <v>9891.6</v>
      </c>
      <c r="E3989" s="6">
        <v>1922</v>
      </c>
      <c r="F3989" s="9">
        <v>0.81</v>
      </c>
      <c r="H3989" s="11"/>
      <c r="I3989" s="11"/>
      <c r="J3989" s="11"/>
    </row>
    <row r="3990" spans="1:10" ht="15.75" x14ac:dyDescent="0.3">
      <c r="A3990" s="12" t="str">
        <f>HYPERLINK("https://parts-sales.ru/parts/MAN/81978712042","81.97871-2042")</f>
        <v>81.97871-2042</v>
      </c>
      <c r="B3990" s="12" t="str">
        <f>HYPERLINK("https://parts-sales.ru/parts/MAN/81978712042","Типовая табличка 133X65/KST-SK-SW/WS")</f>
        <v>Типовая табличка 133X65/KST-SK-SW/WS</v>
      </c>
      <c r="C3990" s="3" t="s">
        <v>12</v>
      </c>
      <c r="D3990" s="4">
        <v>17760</v>
      </c>
      <c r="E3990" s="4">
        <v>5635</v>
      </c>
      <c r="F3990" s="8">
        <v>0.68</v>
      </c>
      <c r="H3990" s="11"/>
      <c r="I3990" s="11"/>
      <c r="J3990" s="11"/>
    </row>
    <row r="3991" spans="1:10" ht="15.75" x14ac:dyDescent="0.3">
      <c r="A3991" s="13" t="str">
        <f>HYPERLINK("https://parts-sales.ru/parts/MAN/81978780000","81.97878-0000")</f>
        <v>81.97878-0000</v>
      </c>
      <c r="B3991" s="13" t="str">
        <f>HYPERLINK("https://parts-sales.ru/parts/MAN/81978780000","Пластмассовые цифры 0-R")</f>
        <v>Пластмассовые цифры 0-R</v>
      </c>
      <c r="C3991" s="5" t="s">
        <v>12</v>
      </c>
      <c r="D3991" s="6">
        <v>1747.2</v>
      </c>
      <c r="E3991" s="6">
        <v>288</v>
      </c>
      <c r="F3991" s="9">
        <v>0.84</v>
      </c>
      <c r="H3991" s="11"/>
      <c r="I3991" s="11"/>
      <c r="J3991" s="11"/>
    </row>
    <row r="3992" spans="1:10" ht="15.75" x14ac:dyDescent="0.3">
      <c r="A3992" s="12" t="str">
        <f>HYPERLINK("https://parts-sales.ru/parts/MAN/81978780001","81.97878-0001")</f>
        <v>81.97878-0001</v>
      </c>
      <c r="B3992" s="12" t="str">
        <f>HYPERLINK("https://parts-sales.ru/parts/MAN/81978780001","Пластмассовые цифры 1-R")</f>
        <v>Пластмассовые цифры 1-R</v>
      </c>
      <c r="C3992" s="3" t="s">
        <v>12</v>
      </c>
      <c r="D3992" s="4">
        <v>427.18</v>
      </c>
      <c r="E3992" s="4">
        <v>257</v>
      </c>
      <c r="F3992" s="8">
        <v>0.4</v>
      </c>
      <c r="H3992" s="11"/>
      <c r="I3992" s="11"/>
      <c r="J3992" s="11"/>
    </row>
    <row r="3993" spans="1:10" ht="15.75" x14ac:dyDescent="0.3">
      <c r="A3993" s="13" t="str">
        <f>HYPERLINK("https://parts-sales.ru/parts/MAN/81978780005","81.97878-0005")</f>
        <v>81.97878-0005</v>
      </c>
      <c r="B3993" s="13" t="str">
        <f>HYPERLINK("https://parts-sales.ru/parts/MAN/81978780005","Пластмассовые цифры 5-R")</f>
        <v>Пластмассовые цифры 5-R</v>
      </c>
      <c r="C3993" s="5" t="s">
        <v>12</v>
      </c>
      <c r="D3993" s="6">
        <v>1698</v>
      </c>
      <c r="E3993" s="6">
        <v>311</v>
      </c>
      <c r="F3993" s="9">
        <v>0.82</v>
      </c>
      <c r="H3993" s="11"/>
      <c r="I3993" s="11"/>
      <c r="J3993" s="11"/>
    </row>
    <row r="3994" spans="1:10" ht="15.75" x14ac:dyDescent="0.3">
      <c r="A3994" s="12" t="str">
        <f>HYPERLINK("https://parts-sales.ru/parts/MAN/81978780102","81.97878-0102")</f>
        <v>81.97878-0102</v>
      </c>
      <c r="B3994" s="12" t="str">
        <f>HYPERLINK("https://parts-sales.ru/parts/MAN/81978780102","Пластмассовые цифры 2-P")</f>
        <v>Пластмассовые цифры 2-P</v>
      </c>
      <c r="C3994" s="3" t="s">
        <v>12</v>
      </c>
      <c r="D3994" s="4">
        <v>1698</v>
      </c>
      <c r="E3994" s="4">
        <v>89</v>
      </c>
      <c r="F3994" s="8">
        <v>0.95</v>
      </c>
      <c r="H3994" s="11"/>
      <c r="I3994" s="11"/>
      <c r="J3994" s="11"/>
    </row>
    <row r="3995" spans="1:10" ht="15.75" x14ac:dyDescent="0.3">
      <c r="A3995" s="13" t="str">
        <f>HYPERLINK("https://parts-sales.ru/parts/MAN/81978780103","81.97878-0103")</f>
        <v>81.97878-0103</v>
      </c>
      <c r="B3995" s="13" t="str">
        <f>HYPERLINK("https://parts-sales.ru/parts/MAN/81978780103","Пластмассовые цифры 3-P")</f>
        <v>Пластмассовые цифры 3-P</v>
      </c>
      <c r="C3995" s="5" t="s">
        <v>12</v>
      </c>
      <c r="D3995" s="6">
        <v>1966.8</v>
      </c>
      <c r="E3995" s="6">
        <v>68</v>
      </c>
      <c r="F3995" s="9">
        <v>0.97</v>
      </c>
      <c r="H3995" s="11"/>
      <c r="I3995" s="11"/>
      <c r="J3995" s="11"/>
    </row>
    <row r="3996" spans="1:10" ht="15.75" x14ac:dyDescent="0.3">
      <c r="A3996" s="12" t="str">
        <f>HYPERLINK("https://parts-sales.ru/parts/MAN/81978780106","81.97878-0106")</f>
        <v>81.97878-0106</v>
      </c>
      <c r="B3996" s="12" t="str">
        <f>HYPERLINK("https://parts-sales.ru/parts/MAN/81978780106","Пластмассовые цифры 6/9-P")</f>
        <v>Пластмассовые цифры 6/9-P</v>
      </c>
      <c r="C3996" s="3" t="s">
        <v>12</v>
      </c>
      <c r="D3996" s="4">
        <v>754.8</v>
      </c>
      <c r="E3996" s="4">
        <v>46</v>
      </c>
      <c r="F3996" s="8">
        <v>0.94</v>
      </c>
      <c r="H3996" s="11"/>
      <c r="I3996" s="11"/>
      <c r="J3996" s="11"/>
    </row>
    <row r="3997" spans="1:10" ht="15.75" x14ac:dyDescent="0.3">
      <c r="A3997" s="13" t="str">
        <f>HYPERLINK("https://parts-sales.ru/parts/MAN/81978780108","81.97878-0108")</f>
        <v>81.97878-0108</v>
      </c>
      <c r="B3997" s="13" t="str">
        <f>HYPERLINK("https://parts-sales.ru/parts/MAN/81978780108","Пластмассовые цифры 8-P")</f>
        <v>Пластмассовые цифры 8-P</v>
      </c>
      <c r="C3997" s="5" t="s">
        <v>12</v>
      </c>
      <c r="D3997" s="6">
        <v>1966.8</v>
      </c>
      <c r="E3997" s="6">
        <v>96</v>
      </c>
      <c r="F3997" s="9">
        <v>0.95</v>
      </c>
      <c r="H3997" s="11"/>
      <c r="I3997" s="11"/>
      <c r="J3997" s="11"/>
    </row>
    <row r="3998" spans="1:10" ht="15.75" x14ac:dyDescent="0.3">
      <c r="A3998" s="12" t="str">
        <f>HYPERLINK("https://parts-sales.ru/parts/MAN/85974010022","85.97401-0022")</f>
        <v>85.97401-0022</v>
      </c>
      <c r="B3998" s="12" t="str">
        <f>HYPERLINK("https://parts-sales.ru/parts/MAN/85974010022","Крепежный зажим D1-34X15-W4-EPDM-0,8")</f>
        <v>Крепежный зажим D1-34X15-W4-EPDM-0,8</v>
      </c>
      <c r="C3998" s="3" t="s">
        <v>12</v>
      </c>
      <c r="D3998" s="4">
        <v>444</v>
      </c>
      <c r="E3998" s="4">
        <v>97</v>
      </c>
      <c r="F3998" s="8">
        <v>0.78</v>
      </c>
      <c r="H3998" s="11"/>
      <c r="I3998" s="11"/>
      <c r="J3998" s="11"/>
    </row>
    <row r="3999" spans="1:10" ht="15.75" x14ac:dyDescent="0.3">
      <c r="A3999" s="13" t="str">
        <f>HYPERLINK("https://parts-sales.ru/parts/MAN/82981120094","82.98112-0094")</f>
        <v>82.98112-0094</v>
      </c>
      <c r="B3999" s="13" t="str">
        <f>HYPERLINK("https://parts-sales.ru/parts/MAN/82981120094","Угловой штуцер S20")</f>
        <v>Угловой штуцер S20</v>
      </c>
      <c r="C3999" s="5" t="s">
        <v>12</v>
      </c>
      <c r="D3999" s="6">
        <v>17410.8</v>
      </c>
      <c r="E3999" s="6">
        <v>3957</v>
      </c>
      <c r="F3999" s="9">
        <v>0.77</v>
      </c>
      <c r="H3999" s="11"/>
      <c r="I3999" s="11"/>
      <c r="J3999" s="11"/>
    </row>
    <row r="4000" spans="1:10" ht="15.75" x14ac:dyDescent="0.3">
      <c r="A4000" s="12" t="str">
        <f>HYPERLINK("https://parts-sales.ru/parts/MAN/K3122106000","K3.12210-6000")</f>
        <v>K3.12210-6000</v>
      </c>
      <c r="B4000" s="12" t="str">
        <f>HYPERLINK("https://parts-sales.ru/parts/MAN/K3122106000","Защита от слива топлива")</f>
        <v>Защита от слива топлива</v>
      </c>
      <c r="C4000" s="3" t="s">
        <v>43</v>
      </c>
      <c r="D4000" s="4">
        <v>12651.6</v>
      </c>
      <c r="E4000" s="4">
        <v>2013</v>
      </c>
      <c r="F4000" s="8">
        <v>0.84</v>
      </c>
      <c r="H4000" s="11"/>
      <c r="I4000" s="11"/>
      <c r="J4000" s="11"/>
    </row>
    <row r="4001" spans="1:10" ht="15.75" x14ac:dyDescent="0.3">
      <c r="A4001" s="13" t="str">
        <f>HYPERLINK("https://parts-sales.ru/parts/MAN/M1512006001","M1.51200-6001")</f>
        <v>M1.51200-6001</v>
      </c>
      <c r="B4001" s="13" t="str">
        <f>HYPERLINK("https://parts-sales.ru/parts/MAN/M1512006001","Трубчатая спираль ( 81.51250-5065 + 81.51715-0289)")</f>
        <v>Трубчатая спираль ( 81.51250-5065 + 81.51715-0289)</v>
      </c>
      <c r="C4001" s="5" t="s">
        <v>38</v>
      </c>
      <c r="D4001" s="6">
        <v>10588.8</v>
      </c>
      <c r="E4001" s="6">
        <v>777</v>
      </c>
      <c r="F4001" s="9">
        <v>0.93</v>
      </c>
      <c r="H4001" s="11"/>
      <c r="I4001" s="11"/>
      <c r="J4001" s="11"/>
    </row>
    <row r="4002" spans="1:10" ht="15.75" x14ac:dyDescent="0.3">
      <c r="A4002" s="12" t="str">
        <f>HYPERLINK("https://parts-sales.ru/parts/MAN/N1011001771","N1.01100-1771")</f>
        <v>N1.01100-1771</v>
      </c>
      <c r="B4002" s="12" t="str">
        <f>HYPERLINK("https://parts-sales.ru/parts/MAN/N1011001771","Узкий клиновый ремень 17X1950LI")</f>
        <v>Узкий клиновый ремень 17X1950LI</v>
      </c>
      <c r="C4002" s="3" t="s">
        <v>16</v>
      </c>
      <c r="D4002" s="4">
        <v>7308</v>
      </c>
      <c r="E4002" s="4">
        <v>1563</v>
      </c>
      <c r="F4002" s="8">
        <v>0.79</v>
      </c>
      <c r="H4002" s="11"/>
      <c r="I4002" s="11"/>
      <c r="J4002" s="11"/>
    </row>
    <row r="4003" spans="1:10" ht="15.75" x14ac:dyDescent="0.3">
      <c r="A4003" s="13" t="str">
        <f>HYPERLINK("https://parts-sales.ru/parts/MAN/N1011026014","N1.01102-6014")</f>
        <v>N1.01102-6014</v>
      </c>
      <c r="B4003" s="13" t="str">
        <f>HYPERLINK("https://parts-sales.ru/parts/MAN/N1011026014","Выключатель")</f>
        <v>Выключатель</v>
      </c>
      <c r="C4003" s="5" t="s">
        <v>16</v>
      </c>
      <c r="D4003" s="6">
        <v>6690</v>
      </c>
      <c r="E4003" s="6">
        <v>1617</v>
      </c>
      <c r="F4003" s="9">
        <v>0.76</v>
      </c>
      <c r="H4003" s="11"/>
      <c r="I4003" s="11"/>
      <c r="J4003" s="11"/>
    </row>
    <row r="4004" spans="1:10" ht="15.75" x14ac:dyDescent="0.3">
      <c r="A4004" s="12" t="str">
        <f>HYPERLINK("https://parts-sales.ru/parts/MAN/ZR000000336","ZR.00000-0336")</f>
        <v>ZR.00000-0336</v>
      </c>
      <c r="B4004" s="12" t="str">
        <f>HYPERLINK("https://parts-sales.ru/parts/MAN/ZR000000336","Редуктор центральный HD95009420008")</f>
        <v>Редуктор центральный HD95009420008</v>
      </c>
      <c r="C4004" s="3" t="s">
        <v>30</v>
      </c>
      <c r="D4004" s="4">
        <v>236455.2</v>
      </c>
      <c r="E4004" s="4">
        <v>101922</v>
      </c>
      <c r="F4004" s="8">
        <v>0.56999999999999995</v>
      </c>
      <c r="H4004" s="11"/>
      <c r="I4004" s="11"/>
      <c r="J4004" s="11"/>
    </row>
    <row r="4005" spans="1:10" ht="15.75" x14ac:dyDescent="0.3">
      <c r="A4005" s="13" t="str">
        <f>HYPERLINK("https://parts-sales.ru/parts/MAN/81991877141","81.99187-7141")</f>
        <v>81.99187-7141</v>
      </c>
      <c r="B4005" s="13" t="str">
        <f>HYPERLINK("https://parts-sales.ru/parts/MAN/81991877141","Руководство по эксплуатации MEHRSP RADIO")</f>
        <v>Руководство по эксплуатации MEHRSP RADIO</v>
      </c>
      <c r="C4005" s="5" t="s">
        <v>12</v>
      </c>
      <c r="D4005" s="6">
        <v>3610.8</v>
      </c>
      <c r="E4005" s="6">
        <v>50</v>
      </c>
      <c r="F4005" s="9">
        <v>0.99</v>
      </c>
      <c r="H4005" s="11"/>
      <c r="I4005" s="11"/>
      <c r="J4005" s="11"/>
    </row>
    <row r="4006" spans="1:10" ht="15.75" x14ac:dyDescent="0.3">
      <c r="A4006" s="12" t="str">
        <f>HYPERLINK("https://parts-sales.ru/parts/MAN/81995878794","81.99587-8794")</f>
        <v>81.99587-8794</v>
      </c>
      <c r="B4006" s="12" t="str">
        <f>HYPERLINK("https://parts-sales.ru/parts/MAN/81995878794","Инструкция по эксплуатации TGS OHNE MFL")</f>
        <v>Инструкция по эксплуатации TGS OHNE MFL</v>
      </c>
      <c r="C4006" s="3" t="s">
        <v>12</v>
      </c>
      <c r="D4006" s="4">
        <v>7304.4</v>
      </c>
      <c r="E4006" s="4">
        <v>75</v>
      </c>
      <c r="F4006" s="8">
        <v>0.99</v>
      </c>
      <c r="H4006" s="11"/>
      <c r="I4006" s="11"/>
      <c r="J4006" s="11"/>
    </row>
    <row r="4007" spans="1:10" ht="15.75" x14ac:dyDescent="0.3">
      <c r="A4007" s="13" t="str">
        <f>HYPERLINK("https://parts-sales.ru/parts/MAN/81995896031","81.99589-6031")</f>
        <v>81.99589-6031</v>
      </c>
      <c r="B4007" s="13" t="str">
        <f>HYPERLINK("https://parts-sales.ru/parts/MAN/81995896031","Сервисная книжка MOBILE 24")</f>
        <v>Сервисная книжка MOBILE 24</v>
      </c>
      <c r="C4007" s="5" t="s">
        <v>12</v>
      </c>
      <c r="D4007" s="6">
        <v>754.8</v>
      </c>
      <c r="E4007" s="6">
        <v>53</v>
      </c>
      <c r="F4007" s="9">
        <v>0.93</v>
      </c>
      <c r="H4007" s="11"/>
      <c r="I4007" s="11"/>
      <c r="J4007" s="11"/>
    </row>
    <row r="4008" spans="1:10" ht="15.75" x14ac:dyDescent="0.3">
      <c r="A4008" s="12" t="str">
        <f>HYPERLINK("https://parts-sales.ru/parts/MAN/ZR000000549","ZR.00000-0549")</f>
        <v>ZR.00000-0549</v>
      </c>
      <c r="B4008" s="12" t="str">
        <f>HYPERLINK("https://parts-sales.ru/parts/MAN/ZR000000549","Устройство управления Easy Start Timer 2 (22.1000.34.4600)")</f>
        <v>Устройство управления Easy Start Timer 2 (22.1000.34.4600)</v>
      </c>
      <c r="C4008" s="3" t="s">
        <v>27</v>
      </c>
      <c r="D4008" s="4">
        <v>7644</v>
      </c>
      <c r="E4008" s="4">
        <v>4957</v>
      </c>
      <c r="F4008" s="8">
        <v>0.35</v>
      </c>
      <c r="H4008" s="11"/>
      <c r="I4008" s="11"/>
      <c r="J4008" s="11"/>
    </row>
    <row r="4009" spans="1:10" ht="15.75" x14ac:dyDescent="0.3">
      <c r="A4009" s="13" t="str">
        <f>HYPERLINK("https://parts-sales.ru/parts/MAN/ZR00000TLMT","ZR.00000-TLMT")</f>
        <v>ZR.00000-TLMT</v>
      </c>
      <c r="B4009" s="13" t="str">
        <f>HYPERLINK("https://parts-sales.ru/parts/MAN/ZR00000TLMT","Комплект спутникового мониторинга")</f>
        <v>Комплект спутникового мониторинга</v>
      </c>
      <c r="C4009" s="5" t="s">
        <v>26</v>
      </c>
      <c r="D4009" s="6">
        <v>19392.14</v>
      </c>
      <c r="E4009" s="6">
        <v>12910</v>
      </c>
      <c r="F4009" s="9">
        <v>0.33</v>
      </c>
      <c r="H4009" s="11"/>
      <c r="I4009" s="11"/>
      <c r="J4009" s="11"/>
    </row>
    <row r="4010" spans="1:10" ht="15.75" x14ac:dyDescent="0.3">
      <c r="A4010" s="12" t="str">
        <f>HYPERLINK("https://parts-sales.ru/parts/MAN/ZR001UETLMT","ZR.001UE-TLMT")</f>
        <v>ZR.001UE-TLMT</v>
      </c>
      <c r="B4010" s="12" t="str">
        <f>HYPERLINK("https://parts-sales.ru/parts/MAN/ZR001UETLMT","К-т спутникового мониторинга Евро TG3")</f>
        <v>К-т спутникового мониторинга Евро TG3</v>
      </c>
      <c r="C4010" s="3" t="s">
        <v>26</v>
      </c>
      <c r="D4010" s="4">
        <v>17257.2</v>
      </c>
      <c r="E4010" s="4">
        <v>11102</v>
      </c>
      <c r="F4010" s="8">
        <v>0.36</v>
      </c>
      <c r="H4010" s="11"/>
      <c r="I4010" s="11"/>
      <c r="J4010" s="11"/>
    </row>
    <row r="4011" spans="1:10" ht="15.75" x14ac:dyDescent="0.3">
      <c r="A4011" s="13" t="str">
        <f>HYPERLINK("https://parts-sales.ru/parts/MAN/ZR00ADRTLMT","ZR.00ADR-TLMT")</f>
        <v>ZR.00ADR-TLMT</v>
      </c>
      <c r="B4011" s="13" t="str">
        <f>HYPERLINK("https://parts-sales.ru/parts/MAN/ZR00ADRTLMT","К-т спутникового мониторинга АСН")</f>
        <v>К-т спутникового мониторинга АСН</v>
      </c>
      <c r="C4011" s="5" t="s">
        <v>26</v>
      </c>
      <c r="D4011" s="6">
        <v>41718</v>
      </c>
      <c r="E4011" s="6">
        <v>25264</v>
      </c>
      <c r="F4011" s="9">
        <v>0.39</v>
      </c>
      <c r="H4011" s="11"/>
      <c r="I4011" s="11"/>
      <c r="J4011" s="11"/>
    </row>
    <row r="4012" spans="1:10" ht="15.75" x14ac:dyDescent="0.3">
      <c r="A4012" s="12" t="str">
        <f>HYPERLINK("https://parts-sales.ru/parts/MAN/81963306025","81.96330-6025")</f>
        <v>81.96330-6025</v>
      </c>
      <c r="B4012" s="12" t="str">
        <f>HYPERLINK("https://parts-sales.ru/parts/MAN/81963306025","Шланг для накачки колес 10M")</f>
        <v>Шланг для накачки колес 10M</v>
      </c>
      <c r="C4012" s="3" t="s">
        <v>14</v>
      </c>
      <c r="D4012" s="4">
        <v>13911.14</v>
      </c>
      <c r="E4012" s="4">
        <v>6463</v>
      </c>
      <c r="F4012" s="8">
        <v>0.54</v>
      </c>
      <c r="H4012" s="11"/>
      <c r="I4012" s="11"/>
      <c r="J4012" s="11"/>
    </row>
    <row r="4013" spans="1:10" ht="15.75" x14ac:dyDescent="0.3">
      <c r="A4013" s="13" t="str">
        <f>HYPERLINK("https://parts-sales.ru/parts/MAN/81152015794","81.15201-5794")</f>
        <v>81.15201-5794</v>
      </c>
      <c r="B4013" s="13" t="str">
        <f>HYPERLINK("https://parts-sales.ru/parts/MAN/81152015794","Выпускной трубопровод")</f>
        <v>Выпускной трубопровод</v>
      </c>
      <c r="C4013" s="5" t="s">
        <v>21</v>
      </c>
      <c r="D4013" s="6">
        <v>34014.6</v>
      </c>
      <c r="E4013" s="6">
        <v>19284</v>
      </c>
      <c r="F4013" s="9">
        <v>0.43</v>
      </c>
      <c r="H4013" s="11"/>
      <c r="I4013" s="11"/>
      <c r="J4013" s="11"/>
    </row>
    <row r="4014" spans="1:10" ht="15.75" x14ac:dyDescent="0.3">
      <c r="A4014" s="12" t="str">
        <f>HYPERLINK("https://parts-sales.ru/parts/MAN/81504106674","81.50410-6674")</f>
        <v>81.50410-6674</v>
      </c>
      <c r="B4014" s="12" t="str">
        <f>HYPERLINK("https://parts-sales.ru/parts/MAN/81504106674","Торм. цил-р с пруж. энергоакк. 30/30")</f>
        <v>Торм. цил-р с пруж. энергоакк. 30/30</v>
      </c>
      <c r="C4014" s="3" t="s">
        <v>38</v>
      </c>
      <c r="D4014" s="4">
        <v>35179.65</v>
      </c>
      <c r="E4014" s="4">
        <v>16373</v>
      </c>
      <c r="F4014" s="8">
        <v>0.53</v>
      </c>
      <c r="H4014" s="11"/>
      <c r="I4014" s="11"/>
      <c r="J4014" s="11"/>
    </row>
    <row r="4015" spans="1:10" ht="15.75" x14ac:dyDescent="0.3">
      <c r="A4015" s="13" t="str">
        <f>HYPERLINK("https://parts-sales.ru/parts/MAN/81305500089","81.30550-0089")</f>
        <v>81.30550-0089</v>
      </c>
      <c r="B4015" s="13" t="str">
        <f>HYPERLINK("https://parts-sales.ru/parts/MAN/81305500089","Выжимной подшипник")</f>
        <v>Выжимной подшипник</v>
      </c>
      <c r="C4015" s="5" t="s">
        <v>28</v>
      </c>
      <c r="D4015" s="6">
        <v>79590.600000000006</v>
      </c>
      <c r="E4015" s="6">
        <v>37043</v>
      </c>
      <c r="F4015" s="9">
        <v>0.53</v>
      </c>
      <c r="H4015" s="11"/>
      <c r="I4015" s="11"/>
      <c r="J4015" s="11"/>
    </row>
    <row r="4016" spans="1:10" ht="15.75" x14ac:dyDescent="0.3">
      <c r="A4016" s="12" t="str">
        <f>HYPERLINK("https://parts-sales.ru/parts/MAN/81504106918","81.50410-6918")</f>
        <v>81.50410-6918</v>
      </c>
      <c r="B4016" s="12" t="s">
        <v>67</v>
      </c>
      <c r="C4016" s="3" t="s">
        <v>38</v>
      </c>
      <c r="D4016" s="4">
        <v>56207.25</v>
      </c>
      <c r="E4016" s="4">
        <v>26160</v>
      </c>
      <c r="F4016" s="8">
        <v>0.53</v>
      </c>
      <c r="H4016" s="11"/>
      <c r="I4016" s="11"/>
      <c r="J4016" s="11"/>
    </row>
    <row r="4017" spans="1:10" ht="15.75" x14ac:dyDescent="0.3">
      <c r="A4017" s="13" t="str">
        <f>HYPERLINK("https://parts-sales.ru/parts/MAN/81303010781","81.30301-0781")</f>
        <v>81.30301-0781</v>
      </c>
      <c r="B4017" s="13" t="str">
        <f>HYPERLINK("https://parts-sales.ru/parts/MAN/81303010781","Диск сцепления 430/254 WGTZ BELAG S104")</f>
        <v>Диск сцепления 430/254 WGTZ BELAG S104</v>
      </c>
      <c r="C4017" s="5" t="s">
        <v>28</v>
      </c>
      <c r="D4017" s="6">
        <v>73989.45</v>
      </c>
      <c r="E4017" s="6">
        <v>46605</v>
      </c>
      <c r="F4017" s="9">
        <v>0.37</v>
      </c>
      <c r="H4017" s="11"/>
      <c r="I4017" s="11"/>
      <c r="J4017" s="11"/>
    </row>
    <row r="4018" spans="1:10" ht="15.75" x14ac:dyDescent="0.3">
      <c r="A4018" s="12" t="str">
        <f>HYPERLINK("https://parts-sales.ru/parts/MAN/06028135031","06.02813-5031")</f>
        <v>06.02813-5031</v>
      </c>
      <c r="B4018" s="12" t="str">
        <f>HYPERLINK("https://parts-sales.ru/parts/MAN/06028135031","Стопорный винт с 6-гран. гол. M16X1,5X15")</f>
        <v>Стопорный винт с 6-гран. гол. M16X1,5X15</v>
      </c>
      <c r="C4018" s="3" t="s">
        <v>6</v>
      </c>
      <c r="D4018" s="4">
        <v>714.38</v>
      </c>
      <c r="E4018" s="4">
        <v>405</v>
      </c>
      <c r="F4018" s="8">
        <v>0.43</v>
      </c>
      <c r="H4018" s="11"/>
      <c r="I4018" s="11"/>
      <c r="J4018" s="11"/>
    </row>
    <row r="4019" spans="1:10" ht="15.75" x14ac:dyDescent="0.3">
      <c r="A4019" s="13" t="str">
        <f>HYPERLINK("https://parts-sales.ru/parts/MAN/82416105142","82.41610-5142")</f>
        <v>82.41610-5142</v>
      </c>
      <c r="B4019" s="13" t="str">
        <f>HYPERLINK("https://parts-sales.ru/parts/MAN/82416105142","Держатель Бампер стальной")</f>
        <v>Держатель Бампер стальной</v>
      </c>
      <c r="C4019" s="5" t="s">
        <v>32</v>
      </c>
      <c r="D4019" s="6">
        <v>22891.22</v>
      </c>
      <c r="E4019" s="6">
        <v>10633</v>
      </c>
      <c r="F4019" s="9">
        <v>0.54</v>
      </c>
      <c r="H4019" s="11"/>
      <c r="I4019" s="11"/>
      <c r="J4019" s="11"/>
    </row>
    <row r="4020" spans="1:10" ht="15.75" x14ac:dyDescent="0.3">
      <c r="A4020" s="12" t="str">
        <f>HYPERLINK("https://parts-sales.ru/parts/MAN/51022010181","51.02201-0181")</f>
        <v>51.02201-0181</v>
      </c>
      <c r="B4020" s="12" t="str">
        <f>HYPERLINK("https://parts-sales.ru/parts/MAN/51022010181","антивибратор")</f>
        <v>антивибратор</v>
      </c>
      <c r="C4020" s="3" t="s">
        <v>17</v>
      </c>
      <c r="D4020" s="4">
        <v>93385.95</v>
      </c>
      <c r="E4020" s="4">
        <v>58709</v>
      </c>
      <c r="F4020" s="8">
        <v>0.37</v>
      </c>
      <c r="H4020" s="11"/>
      <c r="I4020" s="11"/>
      <c r="J4020" s="11"/>
    </row>
    <row r="4021" spans="1:10" ht="15.75" x14ac:dyDescent="0.3">
      <c r="A4021" s="13" t="str">
        <f>HYPERLINK("https://parts-sales.ru/parts/MAN/81305500279","81.30550-0279")</f>
        <v>81.30550-0279</v>
      </c>
      <c r="B4021" s="13" t="str">
        <f>HYPERLINK("https://parts-sales.ru/parts/MAN/81305500279","Выжимной подшипник DM120TCD")</f>
        <v>Выжимной подшипник DM120TCD</v>
      </c>
      <c r="C4021" s="5" t="s">
        <v>28</v>
      </c>
      <c r="D4021" s="6">
        <v>27527.03</v>
      </c>
      <c r="E4021" s="6">
        <v>17305</v>
      </c>
      <c r="F4021" s="9">
        <v>0.37</v>
      </c>
      <c r="H4021" s="11"/>
      <c r="I4021" s="11"/>
      <c r="J4021" s="11"/>
    </row>
    <row r="4022" spans="1:10" ht="15.75" x14ac:dyDescent="0.3">
      <c r="A4022" s="12" t="str">
        <f>HYPERLINK("https://parts-sales.ru/parts/MAN/81254596770","81.25459-6770")</f>
        <v>81.25459-6770</v>
      </c>
      <c r="B4022" s="12" t="str">
        <f>HYPERLINK("https://parts-sales.ru/parts/MAN/81254596770","Кабельная линия Фара")</f>
        <v>Кабельная линия Фара</v>
      </c>
      <c r="C4022" s="3" t="s">
        <v>8</v>
      </c>
      <c r="D4022" s="4">
        <v>65728.06</v>
      </c>
      <c r="E4022" s="4">
        <v>30359</v>
      </c>
      <c r="F4022" s="8">
        <v>0.54</v>
      </c>
      <c r="H4022" s="11"/>
      <c r="I4022" s="11"/>
      <c r="J4022" s="11"/>
    </row>
    <row r="4023" spans="1:10" ht="15.75" x14ac:dyDescent="0.3">
      <c r="A4023" s="13" t="str">
        <f>HYPERLINK("https://parts-sales.ru/parts/MAN/81965030741","81.96503-0741")</f>
        <v>81.96503-0741</v>
      </c>
      <c r="B4023" s="13" t="str">
        <f>HYPERLINK("https://parts-sales.ru/parts/MAN/81965030741","Радиальное уплотнение вала")</f>
        <v>Радиальное уплотнение вала</v>
      </c>
      <c r="C4023" s="5" t="s">
        <v>6</v>
      </c>
      <c r="D4023" s="6">
        <v>5612.26</v>
      </c>
      <c r="E4023" s="6">
        <v>2597</v>
      </c>
      <c r="F4023" s="9">
        <v>0.54</v>
      </c>
      <c r="H4023" s="11"/>
      <c r="I4023" s="11"/>
      <c r="J4023" s="11"/>
    </row>
    <row r="4024" spans="1:10" ht="15.75" x14ac:dyDescent="0.3">
      <c r="A4024" s="12" t="str">
        <f>HYPERLINK("https://parts-sales.ru/parts/MAN/81612100618","81.61210-0618")</f>
        <v>81.61210-0618</v>
      </c>
      <c r="B4024" s="12" t="str">
        <f>HYPERLINK("https://parts-sales.ru/parts/MAN/81612100618","Удлинение крыльев F99L/R17")</f>
        <v>Удлинение крыльев F99L/R17</v>
      </c>
      <c r="C4024" s="3" t="s">
        <v>15</v>
      </c>
      <c r="D4024" s="4">
        <v>41257.18</v>
      </c>
      <c r="E4024" s="4">
        <v>13168</v>
      </c>
      <c r="F4024" s="8">
        <v>0.68</v>
      </c>
      <c r="H4024" s="11"/>
      <c r="I4024" s="11"/>
      <c r="J4024" s="11"/>
    </row>
    <row r="4025" spans="1:10" ht="15.75" x14ac:dyDescent="0.3">
      <c r="A4025" s="13" t="str">
        <f>HYPERLINK("https://parts-sales.ru/parts/MAN/81625104557","81.62510-4557")</f>
        <v>81.62510-4557</v>
      </c>
      <c r="B4025" s="13" t="str">
        <f>HYPERLINK("https://parts-sales.ru/parts/MAN/81625104557","Держатель L/R10-37")</f>
        <v>Держатель L/R10-37</v>
      </c>
      <c r="C4025" s="5" t="s">
        <v>15</v>
      </c>
      <c r="D4025" s="6">
        <v>12139.63</v>
      </c>
      <c r="E4025" s="6">
        <v>5634</v>
      </c>
      <c r="F4025" s="9">
        <v>0.54</v>
      </c>
      <c r="H4025" s="11"/>
      <c r="I4025" s="11"/>
      <c r="J4025" s="11"/>
    </row>
    <row r="4026" spans="1:10" ht="15.75" x14ac:dyDescent="0.3">
      <c r="A4026" s="12" t="str">
        <f>HYPERLINK("https://parts-sales.ru/parts/MAN/81626100023","81.62610-0023")</f>
        <v>81.62610-0023</v>
      </c>
      <c r="B4026" s="12" t="str">
        <f>HYPERLINK("https://parts-sales.ru/parts/MAN/81626100023","Удлинение дверей")</f>
        <v>Удлинение дверей</v>
      </c>
      <c r="C4026" s="3" t="s">
        <v>15</v>
      </c>
      <c r="D4026" s="4">
        <v>92041.2</v>
      </c>
      <c r="E4026" s="4">
        <v>42760</v>
      </c>
      <c r="F4026" s="8">
        <v>0.54</v>
      </c>
      <c r="H4026" s="11"/>
      <c r="I4026" s="11"/>
      <c r="J4026" s="11"/>
    </row>
    <row r="4027" spans="1:10" ht="15.75" x14ac:dyDescent="0.3">
      <c r="A4027" s="13" t="str">
        <f>HYPERLINK("https://parts-sales.ru/parts/MAN/81391155113","81.39115-5113")</f>
        <v>81.39115-5113</v>
      </c>
      <c r="B4027" s="13" t="str">
        <f>HYPERLINK("https://parts-sales.ru/parts/MAN/81391155113","Поводковый фланец 180MM")</f>
        <v>Поводковый фланец 180MM</v>
      </c>
      <c r="C4027" s="5" t="s">
        <v>31</v>
      </c>
      <c r="D4027" s="6">
        <v>42871.199999999997</v>
      </c>
      <c r="E4027" s="6">
        <v>11368</v>
      </c>
      <c r="F4027" s="9">
        <v>0.73</v>
      </c>
      <c r="H4027" s="11"/>
      <c r="I4027" s="11"/>
      <c r="J4027" s="11"/>
    </row>
    <row r="4028" spans="1:10" ht="15.75" x14ac:dyDescent="0.3">
      <c r="A4028" s="12" t="str">
        <f>HYPERLINK("https://parts-sales.ru/parts/MAN/51101006127","51.10100-6127")</f>
        <v>51.10100-6127</v>
      </c>
      <c r="B4028" s="12" t="str">
        <f>HYPERLINK("https://parts-sales.ru/parts/MAN/51101006127","инжектор")</f>
        <v>инжектор</v>
      </c>
      <c r="C4028" s="3" t="s">
        <v>17</v>
      </c>
      <c r="D4028" s="4">
        <v>85612.800000000003</v>
      </c>
      <c r="E4028" s="4">
        <v>19782</v>
      </c>
      <c r="F4028" s="8">
        <v>0.77</v>
      </c>
      <c r="H4028" s="11"/>
      <c r="I4028" s="11"/>
      <c r="J4028" s="11"/>
    </row>
    <row r="4029" spans="1:10" ht="15.75" x14ac:dyDescent="0.3">
      <c r="A4029" s="13" t="str">
        <f>HYPERLINK("https://parts-sales.ru/parts/MAN/81364026509","81.36402-6509")</f>
        <v>81.36402-6509</v>
      </c>
      <c r="B4029" s="13" t="str">
        <f>HYPERLINK("https://parts-sales.ru/parts/MAN/81364026509","вал со сдвоенным карданом 1092 MM")</f>
        <v>вал со сдвоенным карданом 1092 MM</v>
      </c>
      <c r="C4029" s="5" t="s">
        <v>30</v>
      </c>
      <c r="D4029" s="6">
        <v>239586</v>
      </c>
      <c r="E4029" s="6">
        <v>66904</v>
      </c>
      <c r="F4029" s="9">
        <v>0.72</v>
      </c>
      <c r="H4029" s="11"/>
      <c r="I4029" s="11"/>
      <c r="J4029" s="11"/>
    </row>
    <row r="4030" spans="1:10" ht="15.75" x14ac:dyDescent="0.3">
      <c r="A4030" s="12" t="str">
        <f>HYPERLINK("https://parts-sales.ru/parts/MAN/51154055009","51.15405-5009")</f>
        <v>51.15405-5009</v>
      </c>
      <c r="B4030" s="12" t="str">
        <f>HYPERLINK("https://parts-sales.ru/parts/MAN/51154055009","Форсунка д/впрыска мочевины")</f>
        <v>Форсунка д/впрыска мочевины</v>
      </c>
      <c r="C4030" s="3" t="s">
        <v>17</v>
      </c>
      <c r="D4030" s="4">
        <v>40772.400000000001</v>
      </c>
      <c r="E4030" s="4">
        <v>18723</v>
      </c>
      <c r="F4030" s="8">
        <v>0.54</v>
      </c>
      <c r="H4030" s="11"/>
      <c r="I4030" s="11"/>
      <c r="J4030" s="11"/>
    </row>
    <row r="4031" spans="1:10" ht="15.75" x14ac:dyDescent="0.3">
      <c r="A4031" s="13" t="str">
        <f>HYPERLINK("https://parts-sales.ru/parts/MAN/85437156024","85.43715-6024")</f>
        <v>85.43715-6024</v>
      </c>
      <c r="B4031" s="13" t="str">
        <f>HYPERLINK("https://parts-sales.ru/parts/MAN/85437156024","Стабилизатор")</f>
        <v>Стабилизатор</v>
      </c>
      <c r="C4031" s="5" t="s">
        <v>42</v>
      </c>
      <c r="D4031" s="6">
        <v>260643.59999999998</v>
      </c>
      <c r="E4031" s="6">
        <v>117425</v>
      </c>
      <c r="F4031" s="9">
        <v>0.55000000000000004</v>
      </c>
      <c r="H4031" s="11"/>
      <c r="I4031" s="11"/>
      <c r="J4031" s="11"/>
    </row>
    <row r="4032" spans="1:10" ht="15.75" x14ac:dyDescent="0.3">
      <c r="A4032" s="12" t="str">
        <f>HYPERLINK("https://parts-sales.ru/parts/MAN/81258137004","81.25813-7004")</f>
        <v>81.25813-7004</v>
      </c>
      <c r="B4032" s="12" t="str">
        <f>HYPERLINK("https://parts-sales.ru/parts/MAN/81258137004","Прибор управления Устр-во контроля дав-я")</f>
        <v>Прибор управления Устр-во контроля дав-я</v>
      </c>
      <c r="C4032" s="3" t="s">
        <v>23</v>
      </c>
      <c r="D4032" s="4">
        <v>147262.79999999999</v>
      </c>
      <c r="E4032" s="4">
        <v>67232</v>
      </c>
      <c r="F4032" s="8">
        <v>0.54</v>
      </c>
      <c r="H4032" s="11"/>
      <c r="I4032" s="11"/>
      <c r="J4032" s="11"/>
    </row>
    <row r="4033" spans="1:10" ht="15.75" x14ac:dyDescent="0.3">
      <c r="A4033" s="13" t="str">
        <f>HYPERLINK("https://parts-sales.ru/parts/MAN/51041010546","51.04101-0546")</f>
        <v>51.04101-0546</v>
      </c>
      <c r="B4033" s="13" t="str">
        <f>HYPERLINK("https://parts-sales.ru/parts/MAN/51041010546","Выпускной клапан")</f>
        <v>Выпускной клапан</v>
      </c>
      <c r="C4033" s="5" t="s">
        <v>17</v>
      </c>
      <c r="D4033" s="6">
        <v>18003.599999999999</v>
      </c>
      <c r="E4033" s="6">
        <v>11056</v>
      </c>
      <c r="F4033" s="9">
        <v>0.39</v>
      </c>
      <c r="H4033" s="11"/>
      <c r="I4033" s="11"/>
      <c r="J4033" s="11"/>
    </row>
    <row r="4034" spans="1:10" ht="15.75" x14ac:dyDescent="0.3">
      <c r="A4034" s="12" t="str">
        <f>HYPERLINK("https://parts-sales.ru/parts/MAN/36437016044","36.43701-6044")</f>
        <v>36.43701-6044</v>
      </c>
      <c r="B4034" s="12" t="str">
        <f>HYPERLINK("https://parts-sales.ru/parts/MAN/36437016044","Амортизатор")</f>
        <v>Амортизатор</v>
      </c>
      <c r="C4034" s="3" t="s">
        <v>16</v>
      </c>
      <c r="D4034" s="4">
        <v>77946</v>
      </c>
      <c r="E4034" s="4">
        <v>45448</v>
      </c>
      <c r="F4034" s="8">
        <v>0.42</v>
      </c>
      <c r="H4034" s="11"/>
      <c r="I4034" s="11"/>
      <c r="J4034" s="11"/>
    </row>
    <row r="4035" spans="1:10" ht="15.75" x14ac:dyDescent="0.3">
      <c r="A4035" s="13" t="str">
        <f>HYPERLINK("https://parts-sales.ru/parts/MAN/51254210061","51.25421-0061")</f>
        <v>51.25421-0061</v>
      </c>
      <c r="B4035" s="13" t="str">
        <f>HYPERLINK("https://parts-sales.ru/parts/MAN/51254210061","Предохранительный шланг")</f>
        <v>Предохранительный шланг</v>
      </c>
      <c r="C4035" s="5" t="s">
        <v>17</v>
      </c>
      <c r="D4035" s="6">
        <v>4155.5999999999995</v>
      </c>
      <c r="E4035" s="6">
        <v>2416</v>
      </c>
      <c r="F4035" s="9">
        <v>0.42</v>
      </c>
      <c r="H4035" s="11"/>
      <c r="I4035" s="11"/>
      <c r="J4035" s="11"/>
    </row>
    <row r="4036" spans="1:10" ht="15.75" x14ac:dyDescent="0.3">
      <c r="A4036" s="12" t="str">
        <f>HYPERLINK("https://parts-sales.ru/parts/MAN/81611106164","81.61110-6164")</f>
        <v>81.61110-6164</v>
      </c>
      <c r="B4036" s="12" t="str">
        <f>HYPERLINK("https://parts-sales.ru/parts/MAN/81611106164","Передняя заслонка широкий")</f>
        <v>Передняя заслонка широкий</v>
      </c>
      <c r="C4036" s="3" t="s">
        <v>15</v>
      </c>
      <c r="D4036" s="4">
        <v>279970.8</v>
      </c>
      <c r="E4036" s="4">
        <v>178686</v>
      </c>
      <c r="F4036" s="8">
        <v>0.36</v>
      </c>
      <c r="H4036" s="11"/>
      <c r="I4036" s="11"/>
      <c r="J4036" s="11"/>
    </row>
    <row r="4037" spans="1:10" ht="15.75" x14ac:dyDescent="0.3">
      <c r="A4037" s="13" t="str">
        <f>HYPERLINK("https://parts-sales.ru/parts/MAN/81611506139","81.61150-6139")</f>
        <v>81.61150-6139</v>
      </c>
      <c r="B4037" s="13" t="str">
        <f>HYPERLINK("https://parts-sales.ru/parts/MAN/81611506139","Предохр. решетка радиатора широкий")</f>
        <v>Предохр. решетка радиатора широкий</v>
      </c>
      <c r="C4037" s="5" t="s">
        <v>15</v>
      </c>
      <c r="D4037" s="6">
        <v>264432</v>
      </c>
      <c r="E4037" s="6">
        <v>168768</v>
      </c>
      <c r="F4037" s="9">
        <v>0.36</v>
      </c>
      <c r="H4037" s="11"/>
      <c r="I4037" s="11"/>
      <c r="J4037" s="11"/>
    </row>
    <row r="4038" spans="1:10" ht="15.75" x14ac:dyDescent="0.3">
      <c r="A4038" s="12" t="str">
        <f>HYPERLINK("https://parts-sales.ru/parts/MAN/51089010254","51.08901-0254")</f>
        <v>51.08901-0254</v>
      </c>
      <c r="B4038" s="12" t="str">
        <f>HYPERLINK("https://parts-sales.ru/parts/MAN/51089010254","уплотн. выпускного коллектора")</f>
        <v>уплотн. выпускного коллектора</v>
      </c>
      <c r="C4038" s="3" t="s">
        <v>17</v>
      </c>
      <c r="D4038" s="4">
        <v>12828</v>
      </c>
      <c r="E4038" s="4">
        <v>8164</v>
      </c>
      <c r="F4038" s="8">
        <v>0.36</v>
      </c>
      <c r="H4038" s="11"/>
      <c r="I4038" s="11"/>
      <c r="J4038" s="11"/>
    </row>
    <row r="4039" spans="1:10" ht="15.75" x14ac:dyDescent="0.3">
      <c r="A4039" s="13" t="str">
        <f>HYPERLINK("https://parts-sales.ru/parts/MAN/81625104606","81.62510-4606")</f>
        <v>81.62510-4606</v>
      </c>
      <c r="B4039" s="13" t="str">
        <f>HYPERLINK("https://parts-sales.ru/parts/MAN/81625104606","боковина F99L/R15")</f>
        <v>боковина F99L/R15</v>
      </c>
      <c r="C4039" s="5" t="s">
        <v>15</v>
      </c>
      <c r="D4039" s="6">
        <v>277920</v>
      </c>
      <c r="E4039" s="6">
        <v>176816</v>
      </c>
      <c r="F4039" s="9">
        <v>0.36</v>
      </c>
      <c r="H4039" s="11"/>
      <c r="I4039" s="11"/>
      <c r="J4039" s="11"/>
    </row>
    <row r="4040" spans="1:10" ht="15.75" x14ac:dyDescent="0.3">
      <c r="A4040" s="12" t="str">
        <f>HYPERLINK("https://parts-sales.ru/parts/MAN/51521606001","51.52160-6001")</f>
        <v>51.52160-6001</v>
      </c>
      <c r="B4040" s="12" t="str">
        <f>HYPERLINK("https://parts-sales.ru/parts/MAN/51521606001","Рем компл возд компр Магнитный клапан")</f>
        <v>Рем компл возд компр Магнитный клапан</v>
      </c>
      <c r="C4040" s="3" t="s">
        <v>17</v>
      </c>
      <c r="D4040" s="4">
        <v>112764</v>
      </c>
      <c r="E4040" s="4">
        <v>71739</v>
      </c>
      <c r="F4040" s="8">
        <v>0.36</v>
      </c>
      <c r="H4040" s="11"/>
      <c r="I4040" s="11"/>
      <c r="J4040" s="11"/>
    </row>
    <row r="4041" spans="1:10" ht="15.75" x14ac:dyDescent="0.3">
      <c r="A4041" s="13" t="str">
        <f>HYPERLINK("https://parts-sales.ru/parts/MAN/81612100675","81.61210-0675")</f>
        <v>81.61210-0675</v>
      </c>
      <c r="B4041" s="13" t="str">
        <f>HYPERLINK("https://parts-sales.ru/parts/MAN/81612100675","Крыло малая колёсная арка")</f>
        <v>Крыло малая колёсная арка</v>
      </c>
      <c r="C4041" s="5" t="s">
        <v>15</v>
      </c>
      <c r="D4041" s="6">
        <v>62554.799999999996</v>
      </c>
      <c r="E4041" s="6">
        <v>39205</v>
      </c>
      <c r="F4041" s="9">
        <v>0.37</v>
      </c>
      <c r="H4041" s="11"/>
      <c r="I4041" s="11"/>
      <c r="J4041" s="11"/>
    </row>
    <row r="4042" spans="1:10" ht="15.75" x14ac:dyDescent="0.3">
      <c r="A4042" s="12" t="str">
        <f>HYPERLINK("https://parts-sales.ru/parts/MAN/81611506084","81.61150-6084")</f>
        <v>81.61150-6084</v>
      </c>
      <c r="B4042" s="12" t="str">
        <f>HYPERLINK("https://parts-sales.ru/parts/MAN/81611506084","Предохр. решетка радиатора F99L/R17,34,3")</f>
        <v>Предохр. решетка радиатора F99L/R17,34,3</v>
      </c>
      <c r="C4042" s="3" t="s">
        <v>15</v>
      </c>
      <c r="D4042" s="4">
        <v>256548</v>
      </c>
      <c r="E4042" s="4">
        <v>99259</v>
      </c>
      <c r="F4042" s="8">
        <v>0.61</v>
      </c>
      <c r="H4042" s="11"/>
      <c r="I4042" s="11"/>
      <c r="J4042" s="11"/>
    </row>
    <row r="4043" spans="1:10" ht="15.75" x14ac:dyDescent="0.3">
      <c r="A4043" s="13" t="str">
        <f>HYPERLINK("https://parts-sales.ru/parts/MAN/81637316638","81.63731-6638")</f>
        <v>81.63731-6638</v>
      </c>
      <c r="B4043" s="13" t="str">
        <f>HYPERLINK("https://parts-sales.ru/parts/MAN/81637316638","Штанга зеркала")</f>
        <v>Штанга зеркала</v>
      </c>
      <c r="C4043" s="5" t="s">
        <v>15</v>
      </c>
      <c r="D4043" s="6">
        <v>43778.400000000001</v>
      </c>
      <c r="E4043" s="6">
        <v>19134</v>
      </c>
      <c r="F4043" s="9">
        <v>0.56000000000000005</v>
      </c>
      <c r="H4043" s="11"/>
      <c r="I4043" s="11"/>
      <c r="J4043" s="11"/>
    </row>
    <row r="4044" spans="1:10" ht="15.75" x14ac:dyDescent="0.3">
      <c r="A4044" s="12" t="str">
        <f>HYPERLINK("https://parts-sales.ru/parts/MAN/81066200188","81.06620-0188")</f>
        <v>81.06620-0188</v>
      </c>
      <c r="B4044" s="12" t="str">
        <f>HYPERLINK("https://parts-sales.ru/parts/MAN/81066200188","Корпус вентилятора")</f>
        <v>Корпус вентилятора</v>
      </c>
      <c r="C4044" s="3" t="s">
        <v>19</v>
      </c>
      <c r="D4044" s="4">
        <v>33970.799999999996</v>
      </c>
      <c r="E4044" s="4">
        <v>21062</v>
      </c>
      <c r="F4044" s="8">
        <v>0.38</v>
      </c>
      <c r="H4044" s="11"/>
      <c r="I4044" s="11"/>
      <c r="J4044" s="11"/>
    </row>
    <row r="4045" spans="1:10" ht="15.75" x14ac:dyDescent="0.3">
      <c r="A4045" s="13" t="str">
        <f>HYPERLINK("https://parts-sales.ru/parts/MAN/81906200096","81.90620-0096")</f>
        <v>81.90620-0096</v>
      </c>
      <c r="B4045" s="13" t="str">
        <f>HYPERLINK("https://parts-sales.ru/parts/MAN/81906200096","Шлицевая гайка M100X1,5-CK45V")</f>
        <v>Шлицевая гайка M100X1,5-CK45V</v>
      </c>
      <c r="C4045" s="5" t="s">
        <v>6</v>
      </c>
      <c r="D4045" s="6">
        <v>12120</v>
      </c>
      <c r="E4045" s="6">
        <v>4055</v>
      </c>
      <c r="F4045" s="9">
        <v>0.67</v>
      </c>
      <c r="H4045" s="11"/>
      <c r="I4045" s="11"/>
      <c r="J4045" s="11"/>
    </row>
    <row r="4046" spans="1:10" ht="15.75" x14ac:dyDescent="0.3">
      <c r="A4046" s="12" t="str">
        <f>HYPERLINK("https://parts-sales.ru/parts/MAN/06072230504","06.07223-0504")</f>
        <v>06.07223-0504</v>
      </c>
      <c r="B4046" s="12" t="str">
        <f>HYPERLINK("https://parts-sales.ru/parts/MAN/06072230504","Винт со сфероцил. гол. по мет. ST4,2X13C")</f>
        <v>Винт со сфероцил. гол. по мет. ST4,2X13C</v>
      </c>
      <c r="C4046" s="3" t="s">
        <v>6</v>
      </c>
      <c r="D4046" s="4">
        <v>78</v>
      </c>
      <c r="E4046" s="4">
        <v>34</v>
      </c>
      <c r="F4046" s="8">
        <v>0.56000000000000005</v>
      </c>
      <c r="H4046" s="11"/>
      <c r="I4046" s="11"/>
      <c r="J4046" s="11"/>
    </row>
    <row r="4047" spans="1:10" ht="15.75" x14ac:dyDescent="0.3">
      <c r="A4047" s="13" t="str">
        <f>HYPERLINK("https://parts-sales.ru/parts/MAN/06020934512","06.02093-4512")</f>
        <v>06.02093-4512</v>
      </c>
      <c r="B4047" s="13" t="str">
        <f>HYPERLINK("https://parts-sales.ru/parts/MAN/06020934512","Винт с цилиндрической головкой M10X40-8.")</f>
        <v>Винт с цилиндрической головкой M10X40-8.</v>
      </c>
      <c r="C4047" s="5" t="s">
        <v>6</v>
      </c>
      <c r="D4047" s="6">
        <v>538.79999999999995</v>
      </c>
      <c r="E4047" s="6">
        <v>298</v>
      </c>
      <c r="F4047" s="9">
        <v>0.45</v>
      </c>
      <c r="H4047" s="11"/>
      <c r="I4047" s="11"/>
      <c r="J4047" s="11"/>
    </row>
    <row r="4048" spans="1:10" ht="15.75" x14ac:dyDescent="0.3">
      <c r="A4048" s="12" t="str">
        <f>HYPERLINK("https://parts-sales.ru/parts/MAN/81503010313","81.50301-0313")</f>
        <v>81.50301-0313</v>
      </c>
      <c r="B4048" s="12" t="str">
        <f>HYPERLINK("https://parts-sales.ru/parts/MAN/81503010313","Тормозной распред. вал слева")</f>
        <v>Тормозной распред. вал слева</v>
      </c>
      <c r="C4048" s="3" t="s">
        <v>38</v>
      </c>
      <c r="D4048" s="4">
        <v>40599.599999999999</v>
      </c>
      <c r="E4048" s="4">
        <v>22370</v>
      </c>
      <c r="F4048" s="8">
        <v>0.45</v>
      </c>
      <c r="H4048" s="11"/>
      <c r="I4048" s="11"/>
      <c r="J4048" s="11"/>
    </row>
    <row r="4049" spans="1:10" ht="15.75" x14ac:dyDescent="0.3">
      <c r="A4049" s="13" t="str">
        <f>HYPERLINK("https://parts-sales.ru/parts/MAN/81503010314","81.50301-0314")</f>
        <v>81.50301-0314</v>
      </c>
      <c r="B4049" s="13" t="str">
        <f>HYPERLINK("https://parts-sales.ru/parts/MAN/81503010314","Тормозной распред. вал справа")</f>
        <v>Тормозной распред. вал справа</v>
      </c>
      <c r="C4049" s="5" t="s">
        <v>38</v>
      </c>
      <c r="D4049" s="6">
        <v>41130</v>
      </c>
      <c r="E4049" s="6">
        <v>22618</v>
      </c>
      <c r="F4049" s="9">
        <v>0.45</v>
      </c>
      <c r="H4049" s="11"/>
      <c r="I4049" s="11"/>
      <c r="J4049" s="11"/>
    </row>
    <row r="4050" spans="1:10" ht="15.75" x14ac:dyDescent="0.3">
      <c r="A4050" s="12" t="str">
        <f>HYPERLINK("https://parts-sales.ru/parts/MAN/81965030689","81.96503-0689")</f>
        <v>81.96503-0689</v>
      </c>
      <c r="B4050" s="12" t="str">
        <f>HYPERLINK("https://parts-sales.ru/parts/MAN/81965030689","Уплотнительное кольцо 5,3X2,4X10,1")</f>
        <v>Уплотнительное кольцо 5,3X2,4X10,1</v>
      </c>
      <c r="C4050" s="3" t="s">
        <v>6</v>
      </c>
      <c r="D4050" s="4">
        <v>235.2</v>
      </c>
      <c r="E4050" s="4">
        <v>101</v>
      </c>
      <c r="F4050" s="8">
        <v>0.56999999999999995</v>
      </c>
      <c r="H4050" s="11"/>
      <c r="I4050" s="11"/>
      <c r="J4050" s="11"/>
    </row>
    <row r="4051" spans="1:10" ht="15.75" x14ac:dyDescent="0.3">
      <c r="A4051" s="13" t="str">
        <f>HYPERLINK("https://parts-sales.ru/parts/MAN/81930300289","81.93030-0289")</f>
        <v>81.93030-0289</v>
      </c>
      <c r="B4051" s="13" t="str">
        <f>HYPERLINK("https://parts-sales.ru/parts/MAN/81930300289","Распорная втулка")</f>
        <v>Распорная втулка</v>
      </c>
      <c r="C4051" s="5" t="s">
        <v>12</v>
      </c>
      <c r="D4051" s="6">
        <v>379.2</v>
      </c>
      <c r="E4051" s="6">
        <v>231</v>
      </c>
      <c r="F4051" s="9">
        <v>0.39</v>
      </c>
      <c r="H4051" s="11"/>
      <c r="I4051" s="11"/>
      <c r="J4051" s="11"/>
    </row>
    <row r="4052" spans="1:10" ht="15.75" x14ac:dyDescent="0.3">
      <c r="A4052" s="12" t="str">
        <f>HYPERLINK("https://parts-sales.ru/parts/MAN/81626800117","81.62680-0117")</f>
        <v>81.62680-0117</v>
      </c>
      <c r="B4052" s="12" t="str">
        <f>HYPERLINK("https://parts-sales.ru/parts/MAN/81626800117","Скоба")</f>
        <v>Скоба</v>
      </c>
      <c r="C4052" s="3" t="s">
        <v>15</v>
      </c>
      <c r="D4052" s="4">
        <v>110.39999999999999</v>
      </c>
      <c r="E4052" s="4">
        <v>61</v>
      </c>
      <c r="F4052" s="8">
        <v>0.45</v>
      </c>
      <c r="H4052" s="11"/>
      <c r="I4052" s="11"/>
      <c r="J4052" s="11"/>
    </row>
    <row r="4053" spans="1:10" ht="15.75" x14ac:dyDescent="0.3">
      <c r="A4053" s="13" t="str">
        <f>HYPERLINK("https://parts-sales.ru/parts/MAN/06569361328","06.56936-1328")</f>
        <v>06.56936-1328</v>
      </c>
      <c r="B4053" s="13" t="str">
        <f>HYPERLINK("https://parts-sales.ru/parts/MAN/06569361328","Круглое уплотнение 25,12X1,78N-FPM1-70-G")</f>
        <v>Круглое уплотнение 25,12X1,78N-FPM1-70-G</v>
      </c>
      <c r="C4053" s="5" t="s">
        <v>6</v>
      </c>
      <c r="D4053" s="6">
        <v>1046.3999999999999</v>
      </c>
      <c r="E4053" s="6">
        <v>637</v>
      </c>
      <c r="F4053" s="9">
        <v>0.39</v>
      </c>
      <c r="H4053" s="11"/>
      <c r="I4053" s="11"/>
      <c r="J4053" s="11"/>
    </row>
    <row r="4054" spans="1:10" ht="15.75" x14ac:dyDescent="0.3">
      <c r="A4054" s="12" t="str">
        <f>HYPERLINK("https://parts-sales.ru/parts/MAN/81264880033","81.26488-0033")</f>
        <v>81.26488-0033</v>
      </c>
      <c r="B4054" s="12" t="str">
        <f>HYPERLINK("https://parts-sales.ru/parts/MAN/81264880033","шина Емкость для воды")</f>
        <v>шина Емкость для воды</v>
      </c>
      <c r="C4054" s="3" t="s">
        <v>25</v>
      </c>
      <c r="D4054" s="4">
        <v>3585.6</v>
      </c>
      <c r="E4054" s="4">
        <v>1528</v>
      </c>
      <c r="F4054" s="8">
        <v>0.56999999999999995</v>
      </c>
      <c r="H4054" s="11"/>
      <c r="I4054" s="11"/>
      <c r="J4054" s="11"/>
    </row>
    <row r="4055" spans="1:10" ht="15.75" x14ac:dyDescent="0.3">
      <c r="A4055" s="13" t="str">
        <f>HYPERLINK("https://parts-sales.ru/parts/MAN/81637310297","81.63731-0297")</f>
        <v>81.63731-0297</v>
      </c>
      <c r="B4055" s="13" t="str">
        <f>HYPERLINK("https://parts-sales.ru/parts/MAN/81637310297","Кожух")</f>
        <v>Кожух</v>
      </c>
      <c r="C4055" s="5" t="s">
        <v>15</v>
      </c>
      <c r="D4055" s="6">
        <v>1784.3999999999999</v>
      </c>
      <c r="E4055" s="6">
        <v>760</v>
      </c>
      <c r="F4055" s="9">
        <v>0.56999999999999995</v>
      </c>
      <c r="H4055" s="11"/>
      <c r="I4055" s="11"/>
      <c r="J4055" s="11"/>
    </row>
    <row r="4056" spans="1:10" ht="15.75" x14ac:dyDescent="0.3">
      <c r="A4056" s="12" t="str">
        <f>HYPERLINK("https://parts-sales.ru/parts/MAN/81416100356","81.41610-0356")</f>
        <v>81.41610-0356</v>
      </c>
      <c r="B4056" s="12" t="str">
        <f>HYPERLINK("https://parts-sales.ru/parts/MAN/81416100356","крышка амортизатора")</f>
        <v>крышка амортизатора</v>
      </c>
      <c r="C4056" s="3" t="s">
        <v>32</v>
      </c>
      <c r="D4056" s="4">
        <v>4707.5999999999995</v>
      </c>
      <c r="E4056" s="4">
        <v>2866</v>
      </c>
      <c r="F4056" s="8">
        <v>0.39</v>
      </c>
      <c r="H4056" s="11"/>
      <c r="I4056" s="11"/>
      <c r="J4056" s="11"/>
    </row>
    <row r="4057" spans="1:10" ht="15.75" x14ac:dyDescent="0.3">
      <c r="A4057" s="13" t="str">
        <f>HYPERLINK("https://parts-sales.ru/parts/MAN/51965010536","51.96501-0536")</f>
        <v>51.96501-0536</v>
      </c>
      <c r="B4057" s="13" t="str">
        <f>HYPERLINK("https://parts-sales.ru/parts/MAN/51965010536","Круглое уплотнение 28,5X2-FPM--80")</f>
        <v>Круглое уплотнение 28,5X2-FPM--80</v>
      </c>
      <c r="C4057" s="5" t="s">
        <v>17</v>
      </c>
      <c r="D4057" s="6">
        <v>1082.3999999999999</v>
      </c>
      <c r="E4057" s="6">
        <v>461</v>
      </c>
      <c r="F4057" s="9">
        <v>0.56999999999999995</v>
      </c>
      <c r="H4057" s="11"/>
      <c r="I4057" s="11"/>
      <c r="J4057" s="11"/>
    </row>
    <row r="4058" spans="1:10" ht="15.75" x14ac:dyDescent="0.3">
      <c r="A4058" s="12" t="str">
        <f>HYPERLINK("https://parts-sales.ru/parts/MAN/51966010588","51.96601-0588")</f>
        <v>51.96601-0588</v>
      </c>
      <c r="B4058" s="12" t="str">
        <f>HYPERLINK("https://parts-sales.ru/parts/MAN/51966010588","Уплотнение")</f>
        <v>Уплотнение</v>
      </c>
      <c r="C4058" s="3" t="s">
        <v>17</v>
      </c>
      <c r="D4058" s="4">
        <v>3150</v>
      </c>
      <c r="E4058" s="4">
        <v>1726</v>
      </c>
      <c r="F4058" s="8">
        <v>0.45</v>
      </c>
      <c r="H4058" s="11"/>
      <c r="I4058" s="11"/>
      <c r="J4058" s="11"/>
    </row>
    <row r="4059" spans="1:10" ht="15.75" x14ac:dyDescent="0.3">
      <c r="A4059" s="13" t="str">
        <f>HYPERLINK("https://parts-sales.ru/parts/MAN/06022542206","06.02254-2206")</f>
        <v>06.02254-2206</v>
      </c>
      <c r="B4059" s="13" t="str">
        <f>HYPERLINK("https://parts-sales.ru/parts/MAN/06022542206","Винт с плоской головкой M8X25Z2-8.8-MAN1")</f>
        <v>Винт с плоской головкой M8X25Z2-8.8-MAN1</v>
      </c>
      <c r="C4059" s="5" t="s">
        <v>6</v>
      </c>
      <c r="D4059" s="6">
        <v>694.8</v>
      </c>
      <c r="E4059" s="6">
        <v>381</v>
      </c>
      <c r="F4059" s="9">
        <v>0.45</v>
      </c>
      <c r="H4059" s="11"/>
      <c r="I4059" s="11"/>
      <c r="J4059" s="11"/>
    </row>
    <row r="4060" spans="1:10" ht="15.75" x14ac:dyDescent="0.3">
      <c r="A4060" s="12" t="str">
        <f>HYPERLINK("https://parts-sales.ru/parts/MAN/06671241234","06.67124-1234")</f>
        <v>06.67124-1234</v>
      </c>
      <c r="B4060" s="12" t="str">
        <f>HYPERLINK("https://parts-sales.ru/parts/MAN/06671241234","Хомутик для шланга TS83-105-W4")</f>
        <v>Хомутик для шланга TS83-105-W4</v>
      </c>
      <c r="C4060" s="3" t="s">
        <v>6</v>
      </c>
      <c r="D4060" s="4">
        <v>5030.3999999999996</v>
      </c>
      <c r="E4060" s="4">
        <v>2143</v>
      </c>
      <c r="F4060" s="8">
        <v>0.56999999999999995</v>
      </c>
      <c r="H4060" s="11"/>
      <c r="I4060" s="11"/>
      <c r="J4060" s="11"/>
    </row>
    <row r="4061" spans="1:10" ht="15.75" x14ac:dyDescent="0.3">
      <c r="A4061" s="13" t="str">
        <f>HYPERLINK("https://parts-sales.ru/parts/MAN/81254750108","81.25475-0108")</f>
        <v>81.25475-0108</v>
      </c>
      <c r="B4061" s="13" t="str">
        <f>HYPERLINK("https://parts-sales.ru/parts/MAN/81254750108","Адаптер C-4-CODEA-GR")</f>
        <v>Адаптер C-4-CODEA-GR</v>
      </c>
      <c r="C4061" s="5" t="s">
        <v>8</v>
      </c>
      <c r="D4061" s="6">
        <v>848.4</v>
      </c>
      <c r="E4061" s="6">
        <v>361</v>
      </c>
      <c r="F4061" s="9">
        <v>0.56999999999999995</v>
      </c>
      <c r="H4061" s="11"/>
      <c r="I4061" s="11"/>
      <c r="J4061" s="11"/>
    </row>
    <row r="4062" spans="1:10" ht="15.75" x14ac:dyDescent="0.3">
      <c r="A4062" s="12" t="str">
        <f>HYPERLINK("https://parts-sales.ru/parts/MAN/36254020187","36.25402-0187")</f>
        <v>36.25402-0187</v>
      </c>
      <c r="B4062" s="12" t="str">
        <f>HYPERLINK("https://parts-sales.ru/parts/MAN/36254020187","Кабельная линия Режим дневного освещения")</f>
        <v>Кабельная линия Режим дневного освещения</v>
      </c>
      <c r="C4062" s="3" t="s">
        <v>16</v>
      </c>
      <c r="D4062" s="4">
        <v>12304.8</v>
      </c>
      <c r="E4062" s="4">
        <v>5243</v>
      </c>
      <c r="F4062" s="8">
        <v>0.56999999999999995</v>
      </c>
      <c r="H4062" s="11"/>
      <c r="I4062" s="11"/>
      <c r="J4062" s="11"/>
    </row>
    <row r="4063" spans="1:10" ht="15.75" x14ac:dyDescent="0.3">
      <c r="A4063" s="13" t="str">
        <f>HYPERLINK("https://parts-sales.ru/parts/MAN/81637350032","81.63735-0032")</f>
        <v>81.63735-0032</v>
      </c>
      <c r="B4063" s="13" t="str">
        <f>HYPERLINK("https://parts-sales.ru/parts/MAN/81637350032","Держатель")</f>
        <v>Держатель</v>
      </c>
      <c r="C4063" s="5" t="s">
        <v>15</v>
      </c>
      <c r="D4063" s="6">
        <v>5564.4</v>
      </c>
      <c r="E4063" s="6">
        <v>2371</v>
      </c>
      <c r="F4063" s="9">
        <v>0.56999999999999995</v>
      </c>
      <c r="H4063" s="11"/>
      <c r="I4063" s="11"/>
      <c r="J4063" s="11"/>
    </row>
    <row r="4064" spans="1:10" ht="15.75" x14ac:dyDescent="0.3">
      <c r="A4064" s="12" t="str">
        <f>HYPERLINK("https://parts-sales.ru/parts/MAN/81323130363","81.32313-0363")</f>
        <v>81.32313-0363</v>
      </c>
      <c r="B4064" s="12" t="str">
        <f>HYPERLINK("https://parts-sales.ru/parts/MAN/81323130363","Компенсационная шайба 78X89,8X2,40-ST")</f>
        <v>Компенсационная шайба 78X89,8X2,40-ST</v>
      </c>
      <c r="C4064" s="3" t="s">
        <v>29</v>
      </c>
      <c r="D4064" s="4">
        <v>6195.5999999999995</v>
      </c>
      <c r="E4064" s="4">
        <v>2640</v>
      </c>
      <c r="F4064" s="8">
        <v>0.56999999999999995</v>
      </c>
      <c r="H4064" s="11"/>
      <c r="I4064" s="11"/>
      <c r="J4064" s="11"/>
    </row>
    <row r="4065" spans="1:10" ht="15.75" x14ac:dyDescent="0.3">
      <c r="A4065" s="13" t="str">
        <f>HYPERLINK("https://parts-sales.ru/parts/MAN/51089010149","51.08901-0149")</f>
        <v>51.08901-0149</v>
      </c>
      <c r="B4065" s="13" t="str">
        <f>HYPERLINK("https://parts-sales.ru/parts/MAN/51089010149","Уплотнение")</f>
        <v>Уплотнение</v>
      </c>
      <c r="C4065" s="5" t="s">
        <v>17</v>
      </c>
      <c r="D4065" s="6">
        <v>5530.8</v>
      </c>
      <c r="E4065" s="6">
        <v>2356</v>
      </c>
      <c r="F4065" s="9">
        <v>0.56999999999999995</v>
      </c>
      <c r="H4065" s="11"/>
      <c r="I4065" s="11"/>
      <c r="J4065" s="11"/>
    </row>
    <row r="4066" spans="1:10" ht="15.75" x14ac:dyDescent="0.3">
      <c r="A4066" s="12" t="str">
        <f>HYPERLINK("https://parts-sales.ru/parts/MAN/81626300090","81.62630-0090")</f>
        <v>81.62630-0090</v>
      </c>
      <c r="B4066" s="12" t="str">
        <f>HYPERLINK("https://parts-sales.ru/parts/MAN/81626300090","Оконная рама")</f>
        <v>Оконная рама</v>
      </c>
      <c r="C4066" s="3" t="s">
        <v>15</v>
      </c>
      <c r="D4066" s="4">
        <v>21745.200000000001</v>
      </c>
      <c r="E4066" s="4">
        <v>13235</v>
      </c>
      <c r="F4066" s="8">
        <v>0.39</v>
      </c>
      <c r="H4066" s="11"/>
      <c r="I4066" s="11"/>
      <c r="J4066" s="11"/>
    </row>
    <row r="4067" spans="1:10" ht="15.75" x14ac:dyDescent="0.3">
      <c r="A4067" s="13" t="str">
        <f>HYPERLINK("https://parts-sales.ru/parts/MAN/81934200357","81.93420-0357")</f>
        <v>81.93420-0357</v>
      </c>
      <c r="B4067" s="13" t="str">
        <f>HYPERLINK("https://parts-sales.ru/parts/MAN/81934200357","Блок конич. роликоподшипников 35X65X35")</f>
        <v>Блок конич. роликоподшипников 35X65X35</v>
      </c>
      <c r="C4067" s="5" t="s">
        <v>7</v>
      </c>
      <c r="D4067" s="6">
        <v>21174</v>
      </c>
      <c r="E4067" s="6">
        <v>9021</v>
      </c>
      <c r="F4067" s="9">
        <v>0.56999999999999995</v>
      </c>
      <c r="H4067" s="11"/>
      <c r="I4067" s="11"/>
      <c r="J4067" s="11"/>
    </row>
    <row r="4068" spans="1:10" ht="15.75" x14ac:dyDescent="0.3">
      <c r="A4068" s="12" t="str">
        <f>HYPERLINK("https://parts-sales.ru/parts/MAN/81626450040","81.62645-0040")</f>
        <v>81.62645-0040</v>
      </c>
      <c r="B4068" s="12" t="str">
        <f>HYPERLINK("https://parts-sales.ru/parts/MAN/81626450040","Дверная шайба 924X806X5-ESG-GNGT")</f>
        <v>Дверная шайба 924X806X5-ESG-GNGT</v>
      </c>
      <c r="C4068" s="3" t="s">
        <v>15</v>
      </c>
      <c r="D4068" s="4">
        <v>21397.200000000001</v>
      </c>
      <c r="E4068" s="4">
        <v>9116</v>
      </c>
      <c r="F4068" s="8">
        <v>0.56999999999999995</v>
      </c>
      <c r="H4068" s="11"/>
      <c r="I4068" s="11"/>
      <c r="J4068" s="11"/>
    </row>
    <row r="4069" spans="1:10" ht="15.75" x14ac:dyDescent="0.3">
      <c r="A4069" s="13" t="str">
        <f>HYPERLINK("https://parts-sales.ru/parts/MAN/51058055784","51.05805-5784")</f>
        <v>51.05805-5784</v>
      </c>
      <c r="B4069" s="13" t="str">
        <f>HYPERLINK("https://parts-sales.ru/parts/MAN/51058055784","Масломерный щуп")</f>
        <v>Масломерный щуп</v>
      </c>
      <c r="C4069" s="5" t="s">
        <v>17</v>
      </c>
      <c r="D4069" s="6">
        <v>3309.6</v>
      </c>
      <c r="E4069" s="6">
        <v>1813</v>
      </c>
      <c r="F4069" s="9">
        <v>0.45</v>
      </c>
      <c r="H4069" s="11"/>
      <c r="I4069" s="11"/>
      <c r="J4069" s="11"/>
    </row>
    <row r="4070" spans="1:10" ht="15.75" x14ac:dyDescent="0.3">
      <c r="A4070" s="12" t="str">
        <f>HYPERLINK("https://parts-sales.ru/parts/MAN/81417156018","81.41715-6018")</f>
        <v>81.41715-6018</v>
      </c>
      <c r="B4070" s="12" t="str">
        <f>HYPERLINK("https://parts-sales.ru/parts/MAN/81417156018","Рем ком напр подв моста")</f>
        <v>Рем ком напр подв моста</v>
      </c>
      <c r="C4070" s="3" t="s">
        <v>32</v>
      </c>
      <c r="D4070" s="4">
        <v>27291.599999999999</v>
      </c>
      <c r="E4070" s="4">
        <v>11628</v>
      </c>
      <c r="F4070" s="8">
        <v>0.56999999999999995</v>
      </c>
      <c r="H4070" s="11"/>
      <c r="I4070" s="11"/>
      <c r="J4070" s="11"/>
    </row>
    <row r="4071" spans="1:10" ht="15.75" x14ac:dyDescent="0.3">
      <c r="A4071" s="13" t="str">
        <f>HYPERLINK("https://parts-sales.ru/parts/MAN/81907130500","81.90713-0500")</f>
        <v>81.90713-0500</v>
      </c>
      <c r="B4071" s="13" t="str">
        <f>HYPERLINK("https://parts-sales.ru/parts/MAN/81907130500","Распорная шайба 90,1X105X3-CK60")</f>
        <v>Распорная шайба 90,1X105X3-CK60</v>
      </c>
      <c r="C4071" s="5" t="s">
        <v>6</v>
      </c>
      <c r="D4071" s="6">
        <v>27902.399999999998</v>
      </c>
      <c r="E4071" s="6">
        <v>11888</v>
      </c>
      <c r="F4071" s="9">
        <v>0.56999999999999995</v>
      </c>
      <c r="H4071" s="11"/>
      <c r="I4071" s="11"/>
      <c r="J4071" s="11"/>
    </row>
    <row r="4072" spans="1:10" ht="15.75" x14ac:dyDescent="0.3">
      <c r="A4072" s="12" t="str">
        <f>HYPERLINK("https://parts-sales.ru/parts/MAN/81508226038","81.50822-6038")</f>
        <v>81.50822-6038</v>
      </c>
      <c r="B4072" s="12" t="str">
        <f>HYPERLINK("https://parts-sales.ru/parts/MAN/81508226038","Рем компл дисковых тормозов Направляющий")</f>
        <v>Рем компл дисковых тормозов Направляющий</v>
      </c>
      <c r="C4072" s="3" t="s">
        <v>38</v>
      </c>
      <c r="D4072" s="4">
        <v>31008</v>
      </c>
      <c r="E4072" s="4">
        <v>15433</v>
      </c>
      <c r="F4072" s="8">
        <v>0.5</v>
      </c>
      <c r="H4072" s="11"/>
      <c r="I4072" s="11"/>
      <c r="J4072" s="11"/>
    </row>
    <row r="4073" spans="1:10" ht="15.75" x14ac:dyDescent="0.3">
      <c r="A4073" s="13" t="str">
        <f>HYPERLINK("https://parts-sales.ru/parts/MAN/81904900696","81.90490-0696")</f>
        <v>81.90490-0696</v>
      </c>
      <c r="B4073" s="13" t="str">
        <f>HYPERLINK("https://parts-sales.ru/parts/MAN/81904900696","Винт крепления M24X2-M18X2X363,5-10.9-A3")</f>
        <v>Винт крепления M24X2-M18X2X363,5-10.9-A3</v>
      </c>
      <c r="C4073" s="5" t="s">
        <v>6</v>
      </c>
      <c r="D4073" s="6">
        <v>16834.8</v>
      </c>
      <c r="E4073" s="6">
        <v>7172</v>
      </c>
      <c r="F4073" s="9">
        <v>0.56999999999999995</v>
      </c>
      <c r="H4073" s="11"/>
      <c r="I4073" s="11"/>
      <c r="J4073" s="11"/>
    </row>
    <row r="4074" spans="1:10" ht="15.75" x14ac:dyDescent="0.3">
      <c r="A4074" s="12" t="str">
        <f>HYPERLINK("https://parts-sales.ru/parts/MAN/81963050282","81.96305-0282")</f>
        <v>81.96305-0282</v>
      </c>
      <c r="B4074" s="12" t="str">
        <f>HYPERLINK("https://parts-sales.ru/parts/MAN/81963050282","формовочный шланг")</f>
        <v>формовочный шланг</v>
      </c>
      <c r="C4074" s="3" t="s">
        <v>14</v>
      </c>
      <c r="D4074" s="4">
        <v>22051.200000000001</v>
      </c>
      <c r="E4074" s="4">
        <v>9395</v>
      </c>
      <c r="F4074" s="8">
        <v>0.56999999999999995</v>
      </c>
      <c r="H4074" s="11"/>
      <c r="I4074" s="11"/>
      <c r="J4074" s="11"/>
    </row>
    <row r="4075" spans="1:10" ht="15.75" x14ac:dyDescent="0.3">
      <c r="A4075" s="13" t="str">
        <f>HYPERLINK("https://parts-sales.ru/parts/MAN/81981836342","81.98183-6342")</f>
        <v>81.98183-6342</v>
      </c>
      <c r="B4075" s="13" t="str">
        <f>HYPERLINK("https://parts-sales.ru/parts/MAN/81981836342","Штекер G-SN8-D9-CUZN/232")</f>
        <v>Штекер G-SN8-D9-CUZN/232</v>
      </c>
      <c r="C4075" s="5" t="s">
        <v>41</v>
      </c>
      <c r="D4075" s="6">
        <v>4431.5999999999995</v>
      </c>
      <c r="E4075" s="6">
        <v>2428</v>
      </c>
      <c r="F4075" s="9">
        <v>0.45</v>
      </c>
      <c r="H4075" s="11"/>
      <c r="I4075" s="11"/>
      <c r="J4075" s="11"/>
    </row>
    <row r="4076" spans="1:10" ht="15.75" x14ac:dyDescent="0.3">
      <c r="A4076" s="12" t="str">
        <f>HYPERLINK("https://parts-sales.ru/parts/MAN/81253206111","81.25320-6111")</f>
        <v>81.25320-6111</v>
      </c>
      <c r="B4076" s="12" t="str">
        <f>HYPERLINK("https://parts-sales.ru/parts/MAN/81253206111","Дополнительная фара Указатель поворота")</f>
        <v>Дополнительная фара Указатель поворота</v>
      </c>
      <c r="C4076" s="3" t="s">
        <v>13</v>
      </c>
      <c r="D4076" s="4">
        <v>32587.199999999997</v>
      </c>
      <c r="E4076" s="4">
        <v>13884</v>
      </c>
      <c r="F4076" s="8">
        <v>0.56999999999999995</v>
      </c>
      <c r="H4076" s="11"/>
      <c r="I4076" s="11"/>
      <c r="J4076" s="11"/>
    </row>
    <row r="4077" spans="1:10" ht="15.75" x14ac:dyDescent="0.3">
      <c r="A4077" s="13" t="str">
        <f>HYPERLINK("https://parts-sales.ru/parts/MAN/51044100160","51.04410-0160")</f>
        <v>51.04410-0160</v>
      </c>
      <c r="B4077" s="13" t="str">
        <f>HYPERLINK("https://parts-sales.ru/parts/MAN/51044100160","втулка распредвала ионно-плазменное расп")</f>
        <v>втулка распредвала ионно-плазменное расп</v>
      </c>
      <c r="C4077" s="5" t="s">
        <v>17</v>
      </c>
      <c r="D4077" s="6">
        <v>33956.400000000001</v>
      </c>
      <c r="E4077" s="6">
        <v>14467</v>
      </c>
      <c r="F4077" s="9">
        <v>0.56999999999999995</v>
      </c>
      <c r="H4077" s="11"/>
      <c r="I4077" s="11"/>
      <c r="J4077" s="11"/>
    </row>
    <row r="4078" spans="1:10" ht="15.75" x14ac:dyDescent="0.3">
      <c r="A4078" s="12" t="str">
        <f>HYPERLINK("https://parts-sales.ru/parts/MAN/81615100871","81.61510-0871")</f>
        <v>81.61510-0871</v>
      </c>
      <c r="B4078" s="12" t="str">
        <f>HYPERLINK("https://parts-sales.ru/parts/MAN/81615100871","передняя часть крыла F99L/R 17/34/39")</f>
        <v>передняя часть крыла F99L/R 17/34/39</v>
      </c>
      <c r="C4078" s="3" t="s">
        <v>15</v>
      </c>
      <c r="D4078" s="4">
        <v>112699.2</v>
      </c>
      <c r="E4078" s="4">
        <v>68593</v>
      </c>
      <c r="F4078" s="8">
        <v>0.39</v>
      </c>
      <c r="H4078" s="11"/>
      <c r="I4078" s="11"/>
      <c r="J4078" s="11"/>
    </row>
    <row r="4079" spans="1:10" ht="15.75" x14ac:dyDescent="0.3">
      <c r="A4079" s="13" t="str">
        <f>HYPERLINK("https://parts-sales.ru/parts/MAN/81612100683","81.61210-0683")</f>
        <v>81.61210-0683</v>
      </c>
      <c r="B4079" s="13" t="str">
        <f>HYPERLINK("https://parts-sales.ru/parts/MAN/81612100683","Крыло большая колёсная арка")</f>
        <v>Крыло большая колёсная арка</v>
      </c>
      <c r="C4079" s="5" t="s">
        <v>15</v>
      </c>
      <c r="D4079" s="6">
        <v>55172.4</v>
      </c>
      <c r="E4079" s="6">
        <v>18832</v>
      </c>
      <c r="F4079" s="9">
        <v>0.66</v>
      </c>
      <c r="H4079" s="11"/>
      <c r="I4079" s="11"/>
      <c r="J4079" s="11"/>
    </row>
    <row r="4080" spans="1:10" ht="15.75" x14ac:dyDescent="0.3">
      <c r="A4080" s="12" t="str">
        <f>HYPERLINK("https://parts-sales.ru/parts/MAN/81615100273","81.61510-0273")</f>
        <v>81.61510-0273</v>
      </c>
      <c r="B4080" s="12" t="str">
        <f>HYPERLINK("https://parts-sales.ru/parts/MAN/81615100273","Подножка")</f>
        <v>Подножка</v>
      </c>
      <c r="C4080" s="3" t="s">
        <v>15</v>
      </c>
      <c r="D4080" s="4">
        <v>37492.799999999996</v>
      </c>
      <c r="E4080" s="4">
        <v>22819</v>
      </c>
      <c r="F4080" s="8">
        <v>0.39</v>
      </c>
      <c r="H4080" s="11"/>
      <c r="I4080" s="11"/>
      <c r="J4080" s="11"/>
    </row>
    <row r="4081" spans="1:10" ht="15.75" x14ac:dyDescent="0.3">
      <c r="A4081" s="13" t="str">
        <f>HYPERLINK("https://parts-sales.ru/parts/MAN/81271206289","81.27120-6289")</f>
        <v>81.27120-6289</v>
      </c>
      <c r="B4081" s="13" t="str">
        <f>HYPERLINK("https://parts-sales.ru/parts/MAN/81271206289","Датчик частоты вращения 3900 MM")</f>
        <v>Датчик частоты вращения 3900 MM</v>
      </c>
      <c r="C4081" s="5" t="s">
        <v>24</v>
      </c>
      <c r="D4081" s="6">
        <v>34430.400000000001</v>
      </c>
      <c r="E4081" s="6">
        <v>20955</v>
      </c>
      <c r="F4081" s="9">
        <v>0.39</v>
      </c>
      <c r="H4081" s="11"/>
      <c r="I4081" s="11"/>
      <c r="J4081" s="11"/>
    </row>
    <row r="4082" spans="1:10" ht="15.75" x14ac:dyDescent="0.3">
      <c r="A4082" s="12" t="str">
        <f>HYPERLINK("https://parts-sales.ru/parts/MAN/06540990248","06.54099-0248")</f>
        <v>06.54099-0248</v>
      </c>
      <c r="B4082" s="12" t="str">
        <f>HYPERLINK("https://parts-sales.ru/parts/MAN/06540990248","Шлангопровод 1280 mm")</f>
        <v>Шлангопровод 1280 mm</v>
      </c>
      <c r="C4082" s="3" t="s">
        <v>6</v>
      </c>
      <c r="D4082" s="4">
        <v>17722.8</v>
      </c>
      <c r="E4082" s="4">
        <v>10787</v>
      </c>
      <c r="F4082" s="8">
        <v>0.39</v>
      </c>
      <c r="H4082" s="11"/>
      <c r="I4082" s="11"/>
      <c r="J4082" s="11"/>
    </row>
    <row r="4083" spans="1:10" ht="15.75" x14ac:dyDescent="0.3">
      <c r="A4083" s="13" t="str">
        <f>HYPERLINK("https://parts-sales.ru/parts/MAN/81523019213","81.52301-9213")</f>
        <v>81.52301-9213</v>
      </c>
      <c r="B4083" s="13" t="str">
        <f>HYPERLINK("https://parts-sales.ru/parts/MAN/81523019213","Клапан управления прицепом WEPI")</f>
        <v>Клапан управления прицепом WEPI</v>
      </c>
      <c r="C4083" s="5" t="s">
        <v>38</v>
      </c>
      <c r="D4083" s="6">
        <v>198410.4</v>
      </c>
      <c r="E4083" s="6">
        <v>84531</v>
      </c>
      <c r="F4083" s="9">
        <v>0.56999999999999995</v>
      </c>
      <c r="H4083" s="11"/>
      <c r="I4083" s="11"/>
      <c r="J4083" s="11"/>
    </row>
    <row r="4084" spans="1:10" ht="15.75" x14ac:dyDescent="0.3">
      <c r="A4084" s="12" t="str">
        <f>HYPERLINK("https://parts-sales.ru/parts/MAN/51123075950","51.12307-5950")</f>
        <v>51.12307-5950</v>
      </c>
      <c r="B4084" s="12" t="str">
        <f>HYPERLINK("https://parts-sales.ru/parts/MAN/51123075950","Топливопровод")</f>
        <v>Топливопровод</v>
      </c>
      <c r="C4084" s="3" t="s">
        <v>17</v>
      </c>
      <c r="D4084" s="4">
        <v>93826.8</v>
      </c>
      <c r="E4084" s="4">
        <v>39974</v>
      </c>
      <c r="F4084" s="8">
        <v>0.56999999999999995</v>
      </c>
      <c r="H4084" s="11"/>
      <c r="I4084" s="11"/>
      <c r="J4084" s="11"/>
    </row>
    <row r="4085" spans="1:10" ht="15.75" x14ac:dyDescent="0.3">
      <c r="A4085" s="13" t="str">
        <f>HYPERLINK("https://parts-sales.ru/parts/MAN/51123075759","51.12307-5759")</f>
        <v>51.12307-5759</v>
      </c>
      <c r="B4085" s="13" t="str">
        <f>HYPERLINK("https://parts-sales.ru/parts/MAN/51123075759","Топливопровод Прямой соединит. штуцер")</f>
        <v>Топливопровод Прямой соединит. штуцер</v>
      </c>
      <c r="C4085" s="5" t="s">
        <v>17</v>
      </c>
      <c r="D4085" s="6">
        <v>54904.799999999996</v>
      </c>
      <c r="E4085" s="6">
        <v>23392</v>
      </c>
      <c r="F4085" s="9">
        <v>0.56999999999999995</v>
      </c>
      <c r="H4085" s="11"/>
      <c r="I4085" s="11"/>
      <c r="J4085" s="11"/>
    </row>
    <row r="4086" spans="1:10" ht="15.75" x14ac:dyDescent="0.3">
      <c r="A4086" s="12" t="str">
        <f>HYPERLINK("https://parts-sales.ru/parts/MAN/81391150538","81.39115-0538")</f>
        <v>81.39115-0538</v>
      </c>
      <c r="B4086" s="12" t="str">
        <f>HYPERLINK("https://parts-sales.ru/parts/MAN/81391150538","Поводковый фланец")</f>
        <v>Поводковый фланец</v>
      </c>
      <c r="C4086" s="3" t="s">
        <v>31</v>
      </c>
      <c r="D4086" s="4">
        <v>108774</v>
      </c>
      <c r="E4086" s="4">
        <v>46342</v>
      </c>
      <c r="F4086" s="8">
        <v>0.56999999999999995</v>
      </c>
      <c r="H4086" s="11"/>
      <c r="I4086" s="11"/>
      <c r="J4086" s="11"/>
    </row>
    <row r="4087" spans="1:10" ht="15.75" x14ac:dyDescent="0.3">
      <c r="A4087" s="13" t="str">
        <f>HYPERLINK("https://parts-sales.ru/parts/MAN/81508206097","81.50820-6097")</f>
        <v>81.50820-6097</v>
      </c>
      <c r="B4087" s="13" t="str">
        <f>HYPERLINK("https://parts-sales.ru/parts/MAN/81508206097","комплект тормозных накладок FERODO 4550/")</f>
        <v>комплект тормозных накладок FERODO 4550/</v>
      </c>
      <c r="C4087" s="5" t="s">
        <v>38</v>
      </c>
      <c r="D4087" s="6">
        <v>45256.799999999996</v>
      </c>
      <c r="E4087" s="6">
        <v>24790</v>
      </c>
      <c r="F4087" s="9">
        <v>0.45</v>
      </c>
      <c r="H4087" s="11"/>
      <c r="I4087" s="11"/>
      <c r="J4087" s="11"/>
    </row>
    <row r="4088" spans="1:10" ht="15.75" x14ac:dyDescent="0.3">
      <c r="A4088" s="12" t="str">
        <f>HYPERLINK("https://parts-sales.ru/parts/MAN/51123075756","51.12307-5756")</f>
        <v>51.12307-5756</v>
      </c>
      <c r="B4088" s="12" t="str">
        <f>HYPERLINK("https://parts-sales.ru/parts/MAN/51123075756","Топливопровод высоконапорный насос")</f>
        <v>Топливопровод высоконапорный насос</v>
      </c>
      <c r="C4088" s="3" t="s">
        <v>17</v>
      </c>
      <c r="D4088" s="4">
        <v>47671.199999999997</v>
      </c>
      <c r="E4088" s="4">
        <v>20310</v>
      </c>
      <c r="F4088" s="8">
        <v>0.56999999999999995</v>
      </c>
      <c r="H4088" s="11"/>
      <c r="I4088" s="11"/>
      <c r="J4088" s="11"/>
    </row>
    <row r="4089" spans="1:10" ht="15.75" x14ac:dyDescent="0.3">
      <c r="A4089" s="13" t="str">
        <f>HYPERLINK("https://parts-sales.ru/parts/MAN/81612100940","81.61210-0940")</f>
        <v>81.61210-0940</v>
      </c>
      <c r="B4089" s="13" t="str">
        <f>HYPERLINK("https://parts-sales.ru/parts/MAN/81612100940","Передние брызговики")</f>
        <v>Передние брызговики</v>
      </c>
      <c r="C4089" s="5" t="s">
        <v>15</v>
      </c>
      <c r="D4089" s="6">
        <v>65360.399999999994</v>
      </c>
      <c r="E4089" s="6">
        <v>39780</v>
      </c>
      <c r="F4089" s="9">
        <v>0.39</v>
      </c>
      <c r="H4089" s="11"/>
      <c r="I4089" s="11"/>
      <c r="J4089" s="11"/>
    </row>
    <row r="4090" spans="1:10" ht="15.75" x14ac:dyDescent="0.3">
      <c r="A4090" s="12" t="str">
        <f>HYPERLINK("https://parts-sales.ru/parts/MAN/51123075949","51.12307-5949")</f>
        <v>51.12307-5949</v>
      </c>
      <c r="B4090" s="12" t="str">
        <f>HYPERLINK("https://parts-sales.ru/parts/MAN/51123075949","Топливопровод")</f>
        <v>Топливопровод</v>
      </c>
      <c r="C4090" s="3" t="s">
        <v>17</v>
      </c>
      <c r="D4090" s="4">
        <v>93859.199999999997</v>
      </c>
      <c r="E4090" s="4">
        <v>39988</v>
      </c>
      <c r="F4090" s="8">
        <v>0.56999999999999995</v>
      </c>
      <c r="H4090" s="11"/>
      <c r="I4090" s="11"/>
      <c r="J4090" s="11"/>
    </row>
    <row r="4091" spans="1:10" ht="15.75" x14ac:dyDescent="0.3">
      <c r="A4091" s="13" t="str">
        <f>HYPERLINK("https://parts-sales.ru/parts/MAN/51044100165","51.04410-0165")</f>
        <v>51.04410-0165</v>
      </c>
      <c r="B4091" s="13" t="str">
        <f>HYPERLINK("https://parts-sales.ru/parts/MAN/51044100165","втулка распредвала 1")</f>
        <v>втулка распредвала 1</v>
      </c>
      <c r="C4091" s="5" t="s">
        <v>17</v>
      </c>
      <c r="D4091" s="6">
        <v>20103.599999999999</v>
      </c>
      <c r="E4091" s="6">
        <v>12236</v>
      </c>
      <c r="F4091" s="9">
        <v>0.39</v>
      </c>
      <c r="H4091" s="11"/>
      <c r="I4091" s="11"/>
      <c r="J4091" s="11"/>
    </row>
    <row r="4092" spans="1:10" ht="15.75" x14ac:dyDescent="0.3">
      <c r="A4092" s="12" t="str">
        <f>HYPERLINK("https://parts-sales.ru/parts/MAN/51123075760","51.12307-5760")</f>
        <v>51.12307-5760</v>
      </c>
      <c r="B4092" s="12" t="str">
        <f>HYPERLINK("https://parts-sales.ru/parts/MAN/51123075760","Топливопровод Т-образный штуцер")</f>
        <v>Топливопровод Т-образный штуцер</v>
      </c>
      <c r="C4092" s="3" t="s">
        <v>17</v>
      </c>
      <c r="D4092" s="4">
        <v>50572.799999999996</v>
      </c>
      <c r="E4092" s="4">
        <v>21546</v>
      </c>
      <c r="F4092" s="8">
        <v>0.56999999999999995</v>
      </c>
      <c r="H4092" s="11"/>
      <c r="I4092" s="11"/>
      <c r="J4092" s="11"/>
    </row>
    <row r="4093" spans="1:10" ht="15.75" x14ac:dyDescent="0.3">
      <c r="A4093" s="13" t="str">
        <f>HYPERLINK("https://parts-sales.ru/parts/MAN/81323020035","81.32302-0035")</f>
        <v>81.32302-0035</v>
      </c>
      <c r="B4093" s="13" t="str">
        <f>HYPERLINK("https://parts-sales.ru/parts/MAN/81323020035","Шестерня")</f>
        <v>Шестерня</v>
      </c>
      <c r="C4093" s="5" t="s">
        <v>29</v>
      </c>
      <c r="D4093" s="6">
        <v>114493.2</v>
      </c>
      <c r="E4093" s="6">
        <v>48779</v>
      </c>
      <c r="F4093" s="9">
        <v>0.56999999999999995</v>
      </c>
      <c r="H4093" s="11"/>
      <c r="I4093" s="11"/>
      <c r="J4093" s="11"/>
    </row>
    <row r="4094" spans="1:10" ht="15.75" x14ac:dyDescent="0.3">
      <c r="A4094" s="12" t="str">
        <f>HYPERLINK("https://parts-sales.ru/parts/MAN/81063030740","81.06303-0740")</f>
        <v>81.06303-0740</v>
      </c>
      <c r="B4094" s="12" t="str">
        <f>HYPERLINK("https://parts-sales.ru/parts/MAN/81063030740","Воздухоотводной провод")</f>
        <v>Воздухоотводной провод</v>
      </c>
      <c r="C4094" s="3" t="s">
        <v>19</v>
      </c>
      <c r="D4094" s="4">
        <v>38049.599999999999</v>
      </c>
      <c r="E4094" s="4">
        <v>23158</v>
      </c>
      <c r="F4094" s="8">
        <v>0.39</v>
      </c>
      <c r="H4094" s="11"/>
      <c r="I4094" s="11"/>
      <c r="J4094" s="11"/>
    </row>
    <row r="4095" spans="1:10" ht="15.75" x14ac:dyDescent="0.3">
      <c r="A4095" s="13" t="str">
        <f>HYPERLINK("https://parts-sales.ru/parts/MAN/81934200312","81.93420-0312")</f>
        <v>81.93420-0312</v>
      </c>
      <c r="B4095" s="13" t="str">
        <f>HYPERLINK("https://parts-sales.ru/parts/MAN/81934200312","Конич. роликовый подшипник 80X130X36,3")</f>
        <v>Конич. роликовый подшипник 80X130X36,3</v>
      </c>
      <c r="C4095" s="5" t="s">
        <v>7</v>
      </c>
      <c r="D4095" s="6">
        <v>58363.199999999997</v>
      </c>
      <c r="E4095" s="6">
        <v>24865</v>
      </c>
      <c r="F4095" s="9">
        <v>0.56999999999999995</v>
      </c>
      <c r="H4095" s="11"/>
      <c r="I4095" s="11"/>
      <c r="J4095" s="11"/>
    </row>
    <row r="4096" spans="1:10" ht="15.75" x14ac:dyDescent="0.3">
      <c r="A4096" s="12" t="str">
        <f>HYPERLINK("https://parts-sales.ru/parts/MAN/81254246323","81.25424-6323")</f>
        <v>81.25424-6323</v>
      </c>
      <c r="B4096" s="12" t="str">
        <f>HYPERLINK("https://parts-sales.ru/parts/MAN/81254246323","Кабельная шахта")</f>
        <v>Кабельная шахта</v>
      </c>
      <c r="C4096" s="3" t="s">
        <v>8</v>
      </c>
      <c r="D4096" s="4">
        <v>34048.799999999996</v>
      </c>
      <c r="E4096" s="4">
        <v>14506</v>
      </c>
      <c r="F4096" s="8">
        <v>0.56999999999999995</v>
      </c>
      <c r="H4096" s="11"/>
      <c r="I4096" s="11"/>
      <c r="J4096" s="11"/>
    </row>
    <row r="4097" spans="1:10" ht="15.75" x14ac:dyDescent="0.3">
      <c r="A4097" s="13" t="str">
        <f>HYPERLINK("https://parts-sales.ru/parts/MAN/81669125291","81.66912-5291")</f>
        <v>81.66912-5291</v>
      </c>
      <c r="B4097" s="13" t="str">
        <f>HYPERLINK("https://parts-sales.ru/parts/MAN/81669125291","Крышка ящика для хранения F99L/R32-39")</f>
        <v>Крышка ящика для хранения F99L/R32-39</v>
      </c>
      <c r="C4097" s="5" t="s">
        <v>15</v>
      </c>
      <c r="D4097" s="6">
        <v>78306</v>
      </c>
      <c r="E4097" s="6">
        <v>33361</v>
      </c>
      <c r="F4097" s="9">
        <v>0.56999999999999995</v>
      </c>
      <c r="H4097" s="11"/>
      <c r="I4097" s="11"/>
      <c r="J4097" s="11"/>
    </row>
    <row r="4098" spans="1:10" ht="15.75" x14ac:dyDescent="0.3">
      <c r="A4098" s="12" t="str">
        <f>HYPERLINK("https://parts-sales.ru/parts/MAN/81271206219","81.27120-6219")</f>
        <v>81.27120-6219</v>
      </c>
      <c r="B4098" s="12" t="str">
        <f>HYPERLINK("https://parts-sales.ru/parts/MAN/81271206219","Датчик частоты вращения 3000 mm")</f>
        <v>Датчик частоты вращения 3000 mm</v>
      </c>
      <c r="C4098" s="3" t="s">
        <v>24</v>
      </c>
      <c r="D4098" s="4">
        <v>41548.799999999996</v>
      </c>
      <c r="E4098" s="4">
        <v>17701</v>
      </c>
      <c r="F4098" s="8">
        <v>0.56999999999999995</v>
      </c>
      <c r="H4098" s="11"/>
      <c r="I4098" s="11"/>
      <c r="J4098" s="11"/>
    </row>
    <row r="4099" spans="1:10" ht="15.75" x14ac:dyDescent="0.3">
      <c r="A4099" s="13" t="str">
        <f>HYPERLINK("https://parts-sales.ru/parts/MAN/81271206218","81.27120-6218")</f>
        <v>81.27120-6218</v>
      </c>
      <c r="B4099" s="13" t="str">
        <f>HYPERLINK("https://parts-sales.ru/parts/MAN/81271206218","Датчик частоты вращения 3000")</f>
        <v>Датчик частоты вращения 3000</v>
      </c>
      <c r="C4099" s="5" t="s">
        <v>24</v>
      </c>
      <c r="D4099" s="6">
        <v>41548.799999999996</v>
      </c>
      <c r="E4099" s="6">
        <v>25287</v>
      </c>
      <c r="F4099" s="9">
        <v>0.39</v>
      </c>
      <c r="H4099" s="11"/>
      <c r="I4099" s="11"/>
      <c r="J4099" s="11"/>
    </row>
    <row r="4100" spans="1:10" ht="15.75" x14ac:dyDescent="0.3">
      <c r="A4100" s="12" t="str">
        <f>HYPERLINK("https://parts-sales.ru/parts/MAN/81251016586","81.25101-6586")</f>
        <v>81.25101-6586</v>
      </c>
      <c r="B4100" s="12" t="str">
        <f>HYPERLINK("https://parts-sales.ru/parts/MAN/81251016586","Фара левая сторона")</f>
        <v>Фара левая сторона</v>
      </c>
      <c r="C4100" s="3" t="s">
        <v>13</v>
      </c>
      <c r="D4100" s="4">
        <v>58045.2</v>
      </c>
      <c r="E4100" s="4">
        <v>35327</v>
      </c>
      <c r="F4100" s="8">
        <v>0.39</v>
      </c>
      <c r="H4100" s="11"/>
      <c r="I4100" s="11"/>
      <c r="J4100" s="11"/>
    </row>
    <row r="4101" spans="1:10" ht="15.75" x14ac:dyDescent="0.3">
      <c r="A4101" s="13" t="str">
        <f>HYPERLINK("https://parts-sales.ru/parts/MAN/81612100603","81.61210-0603")</f>
        <v>81.61210-0603</v>
      </c>
      <c r="B4101" s="13" t="str">
        <f>HYPERLINK("https://parts-sales.ru/parts/MAN/81612100603","Удлинение крыльев")</f>
        <v>Удлинение крыльев</v>
      </c>
      <c r="C4101" s="5" t="s">
        <v>15</v>
      </c>
      <c r="D4101" s="6">
        <v>30752.399999999998</v>
      </c>
      <c r="E4101" s="6">
        <v>16845</v>
      </c>
      <c r="F4101" s="9">
        <v>0.45</v>
      </c>
      <c r="H4101" s="11"/>
      <c r="I4101" s="11"/>
      <c r="J4101" s="11"/>
    </row>
    <row r="4102" spans="1:10" ht="15.75" x14ac:dyDescent="0.3">
      <c r="A4102" s="12" t="str">
        <f>HYPERLINK("https://parts-sales.ru/parts/MAN/81612100423","81.61210-0423")</f>
        <v>81.61210-0423</v>
      </c>
      <c r="B4102" s="12" t="str">
        <f>HYPERLINK("https://parts-sales.ru/parts/MAN/81612100423","расширение крыла")</f>
        <v>расширение крыла</v>
      </c>
      <c r="C4102" s="3" t="s">
        <v>15</v>
      </c>
      <c r="D4102" s="4">
        <v>10485.6</v>
      </c>
      <c r="E4102" s="4">
        <v>6382</v>
      </c>
      <c r="F4102" s="8">
        <v>0.39</v>
      </c>
      <c r="H4102" s="11"/>
      <c r="I4102" s="11"/>
      <c r="J4102" s="11"/>
    </row>
    <row r="4103" spans="1:10" ht="15.75" x14ac:dyDescent="0.3">
      <c r="A4103" s="13" t="str">
        <f>HYPERLINK("https://parts-sales.ru/parts/MAN/81437400223","81.43740-0223")</f>
        <v>81.43740-0223</v>
      </c>
      <c r="B4103" s="13" t="str">
        <f>HYPERLINK("https://parts-sales.ru/parts/MAN/81437400223","Держатель")</f>
        <v>Держатель</v>
      </c>
      <c r="C4103" s="5" t="s">
        <v>34</v>
      </c>
      <c r="D4103" s="6">
        <v>32101.199999999997</v>
      </c>
      <c r="E4103" s="6">
        <v>19537</v>
      </c>
      <c r="F4103" s="9">
        <v>0.39</v>
      </c>
      <c r="H4103" s="11"/>
      <c r="I4103" s="11"/>
      <c r="J4103" s="11"/>
    </row>
    <row r="4104" spans="1:10" ht="15.75" x14ac:dyDescent="0.3">
      <c r="A4104" s="12" t="str">
        <f>HYPERLINK("https://parts-sales.ru/parts/MAN/81934040062","81.93404-0062")</f>
        <v>81.93404-0062</v>
      </c>
      <c r="B4104" s="12" t="str">
        <f>HYPERLINK("https://parts-sales.ru/parts/MAN/81934040062","сепаратор с игольчат.роликами")</f>
        <v>сепаратор с игольчат.роликами</v>
      </c>
      <c r="C4104" s="3" t="s">
        <v>7</v>
      </c>
      <c r="D4104" s="4">
        <v>11289.6</v>
      </c>
      <c r="E4104" s="4">
        <v>4810</v>
      </c>
      <c r="F4104" s="8">
        <v>0.56999999999999995</v>
      </c>
      <c r="H4104" s="11"/>
      <c r="I4104" s="11"/>
      <c r="J4104" s="11"/>
    </row>
    <row r="4105" spans="1:10" ht="15.75" x14ac:dyDescent="0.3">
      <c r="A4105" s="13" t="str">
        <f>HYPERLINK("https://parts-sales.ru/parts/MAN/51041020152","51.04102-0152")</f>
        <v>51.04102-0152</v>
      </c>
      <c r="B4105" s="13" t="str">
        <f>HYPERLINK("https://parts-sales.ru/parts/MAN/51041020152","Пружина клапана")</f>
        <v>Пружина клапана</v>
      </c>
      <c r="C4105" s="5" t="s">
        <v>17</v>
      </c>
      <c r="D4105" s="6">
        <v>1612.8</v>
      </c>
      <c r="E4105" s="6">
        <v>687</v>
      </c>
      <c r="F4105" s="9">
        <v>0.56999999999999995</v>
      </c>
      <c r="H4105" s="11"/>
      <c r="I4105" s="11"/>
      <c r="J4105" s="11"/>
    </row>
    <row r="4106" spans="1:10" ht="15.75" x14ac:dyDescent="0.3">
      <c r="A4106" s="12" t="str">
        <f>HYPERLINK("https://parts-sales.ru/parts/MAN/51057050025","51.05705-0025")</f>
        <v>51.05705-0025</v>
      </c>
      <c r="B4106" s="12" t="str">
        <f>HYPERLINK("https://parts-sales.ru/parts/MAN/51057050025","Перфорированный лист")</f>
        <v>Перфорированный лист</v>
      </c>
      <c r="C4106" s="3" t="s">
        <v>17</v>
      </c>
      <c r="D4106" s="4">
        <v>2487.6</v>
      </c>
      <c r="E4106" s="4">
        <v>1514</v>
      </c>
      <c r="F4106" s="8">
        <v>0.39</v>
      </c>
      <c r="H4106" s="11"/>
      <c r="I4106" s="11"/>
      <c r="J4106" s="11"/>
    </row>
    <row r="4107" spans="1:10" ht="15.75" x14ac:dyDescent="0.3">
      <c r="A4107" s="13" t="str">
        <f>HYPERLINK("https://parts-sales.ru/parts/MAN/51059010139","51.05901-0139")</f>
        <v>51.05901-0139</v>
      </c>
      <c r="B4107" s="13" t="str">
        <f>HYPERLINK("https://parts-sales.ru/parts/MAN/51059010139","Уплотнение Головка масляного фильтра")</f>
        <v>Уплотнение Головка масляного фильтра</v>
      </c>
      <c r="C4107" s="5" t="s">
        <v>17</v>
      </c>
      <c r="D4107" s="6">
        <v>4634.3999999999996</v>
      </c>
      <c r="E4107" s="6">
        <v>1974</v>
      </c>
      <c r="F4107" s="9">
        <v>0.56999999999999995</v>
      </c>
      <c r="H4107" s="11"/>
      <c r="I4107" s="11"/>
      <c r="J4107" s="11"/>
    </row>
    <row r="4108" spans="1:10" ht="15.75" x14ac:dyDescent="0.3">
      <c r="A4108" s="12" t="str">
        <f>HYPERLINK("https://parts-sales.ru/parts/MAN/06562790262","06.56279-0262")</f>
        <v>06.56279-0262</v>
      </c>
      <c r="B4108" s="12" t="str">
        <f>HYPERLINK("https://parts-sales.ru/parts/MAN/06562790262","Радиальное уплотнение вала 42X52X5-FPM")</f>
        <v>Радиальное уплотнение вала 42X52X5-FPM</v>
      </c>
      <c r="C4108" s="3" t="s">
        <v>6</v>
      </c>
      <c r="D4108" s="4">
        <v>2868</v>
      </c>
      <c r="E4108" s="4">
        <v>1222</v>
      </c>
      <c r="F4108" s="8">
        <v>0.56999999999999995</v>
      </c>
      <c r="H4108" s="11"/>
      <c r="I4108" s="11"/>
      <c r="J4108" s="11"/>
    </row>
    <row r="4109" spans="1:10" ht="15.75" x14ac:dyDescent="0.3">
      <c r="A4109" s="13" t="str">
        <f>HYPERLINK("https://parts-sales.ru/parts/MAN/06290100426","06.29010-0426")</f>
        <v>06.29010-0426</v>
      </c>
      <c r="B4109" s="13" t="str">
        <f>HYPERLINK("https://parts-sales.ru/parts/MAN/06290100426","Стопорное кольцо 40X2,50-ZNPHR5F")</f>
        <v>Стопорное кольцо 40X2,50-ZNPHR5F</v>
      </c>
      <c r="C4109" s="5" t="s">
        <v>6</v>
      </c>
      <c r="D4109" s="6">
        <v>1165.2</v>
      </c>
      <c r="E4109" s="6">
        <v>709</v>
      </c>
      <c r="F4109" s="9">
        <v>0.39</v>
      </c>
      <c r="H4109" s="11"/>
      <c r="I4109" s="11"/>
      <c r="J4109" s="11"/>
    </row>
    <row r="4110" spans="1:10" ht="15.75" x14ac:dyDescent="0.3">
      <c r="A4110" s="12" t="str">
        <f>HYPERLINK("https://parts-sales.ru/parts/MAN/81965030383","81.96503-0383")</f>
        <v>81.96503-0383</v>
      </c>
      <c r="B4110" s="12" t="str">
        <f>HYPERLINK("https://parts-sales.ru/parts/MAN/81965030383","Радиальное уплотнение вала 42X52X5/8,5-N")</f>
        <v>Радиальное уплотнение вала 42X52X5/8,5-N</v>
      </c>
      <c r="C4110" s="3" t="s">
        <v>6</v>
      </c>
      <c r="D4110" s="4">
        <v>6697.2</v>
      </c>
      <c r="E4110" s="4">
        <v>2853</v>
      </c>
      <c r="F4110" s="8">
        <v>0.56999999999999995</v>
      </c>
      <c r="H4110" s="11"/>
      <c r="I4110" s="11"/>
      <c r="J4110" s="11"/>
    </row>
    <row r="4111" spans="1:10" ht="15.75" x14ac:dyDescent="0.3">
      <c r="A4111" s="13" t="str">
        <f>HYPERLINK("https://parts-sales.ru/parts/MAN/81971180127","81.97118-0127")</f>
        <v>81.97118-0127</v>
      </c>
      <c r="B4111" s="13" t="str">
        <f>HYPERLINK("https://parts-sales.ru/parts/MAN/81971180127","заготовка для ключа TG/TG-S/TG-X")</f>
        <v>заготовка для ключа TG/TG-S/TG-X</v>
      </c>
      <c r="C4111" s="5" t="s">
        <v>12</v>
      </c>
      <c r="D4111" s="6">
        <v>2266.7999999999997</v>
      </c>
      <c r="E4111" s="6">
        <v>966</v>
      </c>
      <c r="F4111" s="9">
        <v>0.56999999999999995</v>
      </c>
      <c r="H4111" s="11"/>
      <c r="I4111" s="11"/>
      <c r="J4111" s="11"/>
    </row>
    <row r="4112" spans="1:10" ht="15.75" x14ac:dyDescent="0.3">
      <c r="A4112" s="12" t="str">
        <f>HYPERLINK("https://parts-sales.ru/parts/MAN/06028134304","06.02813-4304")</f>
        <v>06.02813-4304</v>
      </c>
      <c r="B4112" s="12" t="str">
        <f>HYPERLINK("https://parts-sales.ru/parts/MAN/06028134304","Стопорный винт с 6-гран. гол. M8X12-10.9")</f>
        <v>Стопорный винт с 6-гран. гол. M8X12-10.9</v>
      </c>
      <c r="C4112" s="3" t="s">
        <v>6</v>
      </c>
      <c r="D4112" s="4">
        <v>871.19999999999993</v>
      </c>
      <c r="E4112" s="4">
        <v>371</v>
      </c>
      <c r="F4112" s="8">
        <v>0.56999999999999995</v>
      </c>
      <c r="H4112" s="11"/>
      <c r="I4112" s="11"/>
      <c r="J4112" s="11"/>
    </row>
    <row r="4113" spans="1:10" ht="15.75" x14ac:dyDescent="0.3">
      <c r="A4113" s="13" t="str">
        <f>HYPERLINK("https://parts-sales.ru/parts/MAN/81416850118","81.41685-0118")</f>
        <v>81.41685-0118</v>
      </c>
      <c r="B4113" s="13" t="str">
        <f>HYPERLINK("https://parts-sales.ru/parts/MAN/81416850118","Кожух")</f>
        <v>Кожух</v>
      </c>
      <c r="C4113" s="5" t="s">
        <v>32</v>
      </c>
      <c r="D4113" s="6">
        <v>1538.3999999999999</v>
      </c>
      <c r="E4113" s="6">
        <v>655</v>
      </c>
      <c r="F4113" s="9">
        <v>0.56999999999999995</v>
      </c>
      <c r="H4113" s="11"/>
      <c r="I4113" s="11"/>
      <c r="J4113" s="11"/>
    </row>
    <row r="4114" spans="1:10" ht="15.75" x14ac:dyDescent="0.3">
      <c r="A4114" s="12" t="str">
        <f>HYPERLINK("https://parts-sales.ru/parts/MAN/81965030402","81.96503-0402")</f>
        <v>81.96503-0402</v>
      </c>
      <c r="B4114" s="12" t="str">
        <f>HYPERLINK("https://parts-sales.ru/parts/MAN/81965030402","Уплотнительное кольцо 10,82X14,18X1,68-N")</f>
        <v>Уплотнительное кольцо 10,82X14,18X1,68-N</v>
      </c>
      <c r="C4114" s="3" t="s">
        <v>6</v>
      </c>
      <c r="D4114" s="4">
        <v>940.8</v>
      </c>
      <c r="E4114" s="4">
        <v>515</v>
      </c>
      <c r="F4114" s="8">
        <v>0.45</v>
      </c>
      <c r="H4114" s="11"/>
      <c r="I4114" s="11"/>
      <c r="J4114" s="11"/>
    </row>
    <row r="4115" spans="1:10" ht="15.75" x14ac:dyDescent="0.3">
      <c r="A4115" s="13" t="str">
        <f>HYPERLINK("https://parts-sales.ru/parts/MAN/06020934509","06.02093-4509")</f>
        <v>06.02093-4509</v>
      </c>
      <c r="B4115" s="13" t="str">
        <f>HYPERLINK("https://parts-sales.ru/parts/MAN/06020934509","Винт с цилиндрической головкой M10X25-8.")</f>
        <v>Винт с цилиндрической головкой M10X25-8.</v>
      </c>
      <c r="C4115" s="5" t="s">
        <v>6</v>
      </c>
      <c r="D4115" s="6">
        <v>513.6</v>
      </c>
      <c r="E4115" s="6">
        <v>281</v>
      </c>
      <c r="F4115" s="9">
        <v>0.45</v>
      </c>
      <c r="H4115" s="11"/>
      <c r="I4115" s="11"/>
      <c r="J4115" s="11"/>
    </row>
    <row r="4116" spans="1:10" ht="15.75" x14ac:dyDescent="0.3">
      <c r="A4116" s="12" t="str">
        <f>HYPERLINK("https://parts-sales.ru/parts/MAN/81913010188","81.91301-0188")</f>
        <v>81.91301-0188</v>
      </c>
      <c r="B4116" s="12" t="str">
        <f>HYPERLINK("https://parts-sales.ru/parts/MAN/81913010188","Болт A10,020X24,15-16MNCR5")</f>
        <v>Болт A10,020X24,15-16MNCR5</v>
      </c>
      <c r="C4116" s="3" t="s">
        <v>6</v>
      </c>
      <c r="D4116" s="4">
        <v>1087.2</v>
      </c>
      <c r="E4116" s="4">
        <v>463</v>
      </c>
      <c r="F4116" s="8">
        <v>0.56999999999999995</v>
      </c>
      <c r="H4116" s="11"/>
      <c r="I4116" s="11"/>
      <c r="J4116" s="11"/>
    </row>
    <row r="4117" spans="1:10" ht="15.75" x14ac:dyDescent="0.3">
      <c r="A4117" s="13" t="str">
        <f>HYPERLINK("https://parts-sales.ru/parts/MAN/06020934307","06.02093-4307")</f>
        <v>06.02093-4307</v>
      </c>
      <c r="B4117" s="13" t="str">
        <f>HYPERLINK("https://parts-sales.ru/parts/MAN/06020934307","Винт с цилиндрической головкой M6X20-8.8")</f>
        <v>Винт с цилиндрической головкой M6X20-8.8</v>
      </c>
      <c r="C4117" s="5" t="s">
        <v>6</v>
      </c>
      <c r="D4117" s="6">
        <v>360</v>
      </c>
      <c r="E4117" s="6">
        <v>153</v>
      </c>
      <c r="F4117" s="9">
        <v>0.57999999999999996</v>
      </c>
      <c r="H4117" s="11"/>
      <c r="I4117" s="11"/>
      <c r="J4117" s="11"/>
    </row>
    <row r="4118" spans="1:10" ht="15.75" x14ac:dyDescent="0.3">
      <c r="A4118" s="12" t="str">
        <f>HYPERLINK("https://parts-sales.ru/parts/MAN/81907120970","81.90712-0970")</f>
        <v>81.90712-0970</v>
      </c>
      <c r="B4118" s="12" t="str">
        <f>HYPERLINK("https://parts-sales.ru/parts/MAN/81907120970","Шайба 11,5X21X2-ST2K50-A3C")</f>
        <v>Шайба 11,5X21X2-ST2K50-A3C</v>
      </c>
      <c r="C4118" s="3" t="s">
        <v>6</v>
      </c>
      <c r="D4118" s="4">
        <v>656.4</v>
      </c>
      <c r="E4118" s="4">
        <v>279</v>
      </c>
      <c r="F4118" s="8">
        <v>0.56999999999999995</v>
      </c>
      <c r="H4118" s="11"/>
      <c r="I4118" s="11"/>
      <c r="J4118" s="11"/>
    </row>
    <row r="4119" spans="1:10" ht="15.75" x14ac:dyDescent="0.3">
      <c r="A4119" s="13" t="str">
        <f>HYPERLINK("https://parts-sales.ru/parts/MAN/81508226040","81.50822-6040")</f>
        <v>81.50822-6040</v>
      </c>
      <c r="B4119" s="13" t="str">
        <f>HYPERLINK("https://parts-sales.ru/parts/MAN/81508226040","Рем компл индикатора износа Дисковый тор")</f>
        <v>Рем компл индикатора износа Дисковый тор</v>
      </c>
      <c r="C4119" s="5" t="s">
        <v>38</v>
      </c>
      <c r="D4119" s="6">
        <v>55272</v>
      </c>
      <c r="E4119" s="6">
        <v>27515</v>
      </c>
      <c r="F4119" s="9">
        <v>0.5</v>
      </c>
      <c r="H4119" s="11"/>
      <c r="I4119" s="11"/>
      <c r="J4119" s="11"/>
    </row>
    <row r="4120" spans="1:10" ht="15.75" x14ac:dyDescent="0.3">
      <c r="A4120" s="12" t="str">
        <f>HYPERLINK("https://parts-sales.ru/parts/MAN/81436006069","81.43600-6069")</f>
        <v>81.43600-6069</v>
      </c>
      <c r="B4120" s="12" t="str">
        <f>HYPERLINK("https://parts-sales.ru/parts/MAN/81436006069","система пневм.подрессоривания")</f>
        <v>система пневм.подрессоривания</v>
      </c>
      <c r="C4120" s="3" t="s">
        <v>34</v>
      </c>
      <c r="D4120" s="4">
        <v>68300.399999999994</v>
      </c>
      <c r="E4120" s="4">
        <v>22011</v>
      </c>
      <c r="F4120" s="8">
        <v>0.68</v>
      </c>
      <c r="H4120" s="11"/>
      <c r="I4120" s="11"/>
      <c r="J4120" s="11"/>
    </row>
    <row r="4121" spans="1:10" ht="15.75" x14ac:dyDescent="0.3">
      <c r="A4121" s="13" t="str">
        <f>HYPERLINK("https://parts-sales.ru/parts/MAN/06022541306","06.02254-1306")</f>
        <v>06.02254-1306</v>
      </c>
      <c r="B4121" s="13" t="str">
        <f>HYPERLINK("https://parts-sales.ru/parts/MAN/06022541306","Винт с плоской головкой M8X25Z1-8.8-MAN1")</f>
        <v>Винт с плоской головкой M8X25Z1-8.8-MAN1</v>
      </c>
      <c r="C4121" s="5" t="s">
        <v>6</v>
      </c>
      <c r="D4121" s="6">
        <v>225.6</v>
      </c>
      <c r="E4121" s="6">
        <v>123</v>
      </c>
      <c r="F4121" s="9">
        <v>0.45</v>
      </c>
      <c r="H4121" s="11"/>
      <c r="I4121" s="11"/>
      <c r="J4121" s="11"/>
    </row>
    <row r="4122" spans="1:10" ht="15.75" x14ac:dyDescent="0.3">
      <c r="A4122" s="12" t="str">
        <f>HYPERLINK("https://parts-sales.ru/parts/MAN/81271206286","81.27120-6286")</f>
        <v>81.27120-6286</v>
      </c>
      <c r="B4122" s="12" t="str">
        <f>HYPERLINK("https://parts-sales.ru/parts/MAN/81271206286","Датчик частоты вращения 1800 MM")</f>
        <v>Датчик частоты вращения 1800 MM</v>
      </c>
      <c r="C4122" s="3" t="s">
        <v>24</v>
      </c>
      <c r="D4122" s="4">
        <v>17508</v>
      </c>
      <c r="E4122" s="4">
        <v>9540</v>
      </c>
      <c r="F4122" s="8">
        <v>0.46</v>
      </c>
      <c r="H4122" s="11"/>
      <c r="I4122" s="11"/>
      <c r="J4122" s="11"/>
    </row>
    <row r="4123" spans="1:10" ht="15.75" x14ac:dyDescent="0.3">
      <c r="A4123" s="13" t="str">
        <f>HYPERLINK("https://parts-sales.ru/parts/MAN/81615200091","81.61520-0091")</f>
        <v>81.61520-0091</v>
      </c>
      <c r="B4123" s="13" t="str">
        <f>HYPERLINK("https://parts-sales.ru/parts/MAN/81615200091","Подножка")</f>
        <v>Подножка</v>
      </c>
      <c r="C4123" s="5" t="s">
        <v>15</v>
      </c>
      <c r="D4123" s="6">
        <v>66092.399999999994</v>
      </c>
      <c r="E4123" s="6">
        <v>27987</v>
      </c>
      <c r="F4123" s="9">
        <v>0.57999999999999996</v>
      </c>
      <c r="H4123" s="11"/>
      <c r="I4123" s="11"/>
      <c r="J4123" s="11"/>
    </row>
    <row r="4124" spans="1:10" ht="15.75" x14ac:dyDescent="0.3">
      <c r="A4124" s="12" t="str">
        <f>HYPERLINK("https://parts-sales.ru/parts/MAN/81615100906","81.61510-0906")</f>
        <v>81.61510-0906</v>
      </c>
      <c r="B4124" s="12" t="str">
        <f>HYPERLINK("https://parts-sales.ru/parts/MAN/81615100906","передняя часть крыла")</f>
        <v>передняя часть крыла</v>
      </c>
      <c r="C4124" s="3" t="s">
        <v>15</v>
      </c>
      <c r="D4124" s="4">
        <v>145950</v>
      </c>
      <c r="E4124" s="4">
        <v>68751</v>
      </c>
      <c r="F4124" s="8">
        <v>0.53</v>
      </c>
      <c r="H4124" s="11"/>
      <c r="I4124" s="11"/>
      <c r="J4124" s="11"/>
    </row>
    <row r="4125" spans="1:10" ht="15.75" x14ac:dyDescent="0.3">
      <c r="A4125" s="13" t="str">
        <f>HYPERLINK("https://parts-sales.ru/parts/MAN/06562790025","06.56279-0025")</f>
        <v>06.56279-0025</v>
      </c>
      <c r="B4125" s="13" t="str">
        <f>HYPERLINK("https://parts-sales.ru/parts/MAN/06562790025","Радиальное уплотнение вала AS57X75X7,5/8")</f>
        <v>Радиальное уплотнение вала AS57X75X7,5/8</v>
      </c>
      <c r="C4125" s="5" t="s">
        <v>6</v>
      </c>
      <c r="D4125" s="6">
        <v>5019.5999999999995</v>
      </c>
      <c r="E4125" s="6">
        <v>1640</v>
      </c>
      <c r="F4125" s="9">
        <v>0.67</v>
      </c>
      <c r="H4125" s="11"/>
      <c r="I4125" s="11"/>
      <c r="J4125" s="11"/>
    </row>
    <row r="4126" spans="1:10" ht="15.75" x14ac:dyDescent="0.3">
      <c r="A4126" s="12" t="str">
        <f>HYPERLINK("https://parts-sales.ru/parts/MAN/06562790310","06.56279-0310")</f>
        <v>06.56279-0310</v>
      </c>
      <c r="B4126" s="12" t="str">
        <f>HYPERLINK("https://parts-sales.ru/parts/MAN/06562790310","Радиальное уплотнение вала 42X58X7-NBR")</f>
        <v>Радиальное уплотнение вала 42X58X7-NBR</v>
      </c>
      <c r="C4126" s="3" t="s">
        <v>6</v>
      </c>
      <c r="D4126" s="4">
        <v>1856.3999999999999</v>
      </c>
      <c r="E4126" s="4">
        <v>1009</v>
      </c>
      <c r="F4126" s="8">
        <v>0.46</v>
      </c>
      <c r="H4126" s="11"/>
      <c r="I4126" s="11"/>
      <c r="J4126" s="11"/>
    </row>
    <row r="4127" spans="1:10" ht="15.75" x14ac:dyDescent="0.3">
      <c r="A4127" s="13" t="str">
        <f>HYPERLINK("https://parts-sales.ru/parts/MAN/81329030300","81.32903-0300")</f>
        <v>81.32903-0300</v>
      </c>
      <c r="B4127" s="13" t="str">
        <f>HYPERLINK("https://parts-sales.ru/parts/MAN/81329030300","Уплотнение")</f>
        <v>Уплотнение</v>
      </c>
      <c r="C4127" s="5" t="s">
        <v>29</v>
      </c>
      <c r="D4127" s="6">
        <v>14326.8</v>
      </c>
      <c r="E4127" s="6">
        <v>7782</v>
      </c>
      <c r="F4127" s="9">
        <v>0.46</v>
      </c>
      <c r="H4127" s="11"/>
      <c r="I4127" s="11"/>
      <c r="J4127" s="11"/>
    </row>
    <row r="4128" spans="1:10" ht="15.75" x14ac:dyDescent="0.3">
      <c r="A4128" s="12" t="str">
        <f>HYPERLINK("https://parts-sales.ru/parts/MAN/81417156019","81.41715-6019")</f>
        <v>81.41715-6019</v>
      </c>
      <c r="B4128" s="12" t="str">
        <f>HYPERLINK("https://parts-sales.ru/parts/MAN/81417156019","Коромысло")</f>
        <v>Коромысло</v>
      </c>
      <c r="C4128" s="3" t="s">
        <v>32</v>
      </c>
      <c r="D4128" s="4">
        <v>234157.19999999998</v>
      </c>
      <c r="E4128" s="4">
        <v>140467</v>
      </c>
      <c r="F4128" s="8">
        <v>0.4</v>
      </c>
      <c r="H4128" s="11"/>
      <c r="I4128" s="11"/>
      <c r="J4128" s="11"/>
    </row>
    <row r="4129" spans="1:10" ht="15.75" x14ac:dyDescent="0.3">
      <c r="A4129" s="13" t="str">
        <f>HYPERLINK("https://parts-sales.ru/parts/MAN/81934010064","81.93401-0064")</f>
        <v>81.93401-0064</v>
      </c>
      <c r="B4129" s="13" t="str">
        <f>HYPERLINK("https://parts-sales.ru/parts/MAN/81934010064","Упорный игол. роликоподшипник")</f>
        <v>Упорный игол. роликоподшипник</v>
      </c>
      <c r="C4129" s="5" t="s">
        <v>7</v>
      </c>
      <c r="D4129" s="6">
        <v>13452</v>
      </c>
      <c r="E4129" s="6">
        <v>6108</v>
      </c>
      <c r="F4129" s="9">
        <v>0.55000000000000004</v>
      </c>
      <c r="H4129" s="11"/>
      <c r="I4129" s="11"/>
      <c r="J4129" s="11"/>
    </row>
    <row r="4130" spans="1:10" ht="15.75" x14ac:dyDescent="0.3">
      <c r="A4130" s="12" t="str">
        <f>HYPERLINK("https://parts-sales.ru/parts/MAN/81963050300","81.96305-0300")</f>
        <v>81.96305-0300</v>
      </c>
      <c r="B4130" s="12" t="str">
        <f>HYPERLINK("https://parts-sales.ru/parts/MAN/81963050300","формовочный шланг")</f>
        <v>формовочный шланг</v>
      </c>
      <c r="C4130" s="3" t="s">
        <v>14</v>
      </c>
      <c r="D4130" s="4">
        <v>3241.2</v>
      </c>
      <c r="E4130" s="4">
        <v>1941</v>
      </c>
      <c r="F4130" s="8">
        <v>0.4</v>
      </c>
      <c r="H4130" s="11"/>
      <c r="I4130" s="11"/>
      <c r="J4130" s="11"/>
    </row>
    <row r="4131" spans="1:10" ht="15.75" x14ac:dyDescent="0.3">
      <c r="A4131" s="13" t="str">
        <f>HYPERLINK("https://parts-sales.ru/parts/MAN/81271206287","81.27120-6287")</f>
        <v>81.27120-6287</v>
      </c>
      <c r="B4131" s="13" t="str">
        <f>HYPERLINK("https://parts-sales.ru/parts/MAN/81271206287","Датчик частоты вращения 1800 MM")</f>
        <v>Датчик частоты вращения 1800 MM</v>
      </c>
      <c r="C4131" s="5" t="s">
        <v>24</v>
      </c>
      <c r="D4131" s="6">
        <v>17520</v>
      </c>
      <c r="E4131" s="6">
        <v>8794</v>
      </c>
      <c r="F4131" s="9">
        <v>0.5</v>
      </c>
      <c r="H4131" s="11"/>
      <c r="I4131" s="11"/>
      <c r="J4131" s="11"/>
    </row>
    <row r="4132" spans="1:10" ht="15.75" x14ac:dyDescent="0.3">
      <c r="A4132" s="12" t="str">
        <f>HYPERLINK("https://parts-sales.ru/parts/MAN/81615100979","81.61510-0979")</f>
        <v>81.61510-0979</v>
      </c>
      <c r="B4132" s="12" t="str">
        <f>HYPERLINK("https://parts-sales.ru/parts/MAN/81615100979","Подножка слева внизу")</f>
        <v>Подножка слева внизу</v>
      </c>
      <c r="C4132" s="3" t="s">
        <v>15</v>
      </c>
      <c r="D4132" s="4">
        <v>55796.4</v>
      </c>
      <c r="E4132" s="4">
        <v>9820</v>
      </c>
      <c r="F4132" s="8">
        <v>0.82</v>
      </c>
      <c r="H4132" s="11"/>
      <c r="I4132" s="11"/>
      <c r="J4132" s="11"/>
    </row>
    <row r="4133" spans="1:10" ht="15.75" x14ac:dyDescent="0.3">
      <c r="A4133" s="13" t="str">
        <f>HYPERLINK("https://parts-sales.ru/parts/MAN/06562890400","06.56289-0400")</f>
        <v>06.56289-0400</v>
      </c>
      <c r="B4133" s="13" t="str">
        <f>HYPERLINK("https://parts-sales.ru/parts/MAN/06562890400","Радиальное уплотнение вала 85X145X12/25")</f>
        <v>Радиальное уплотнение вала 85X145X12/25</v>
      </c>
      <c r="C4133" s="5" t="s">
        <v>6</v>
      </c>
      <c r="D4133" s="6">
        <v>35292</v>
      </c>
      <c r="E4133" s="6">
        <v>1917</v>
      </c>
      <c r="F4133" s="9">
        <v>0.95</v>
      </c>
      <c r="H4133" s="11"/>
      <c r="I4133" s="11"/>
      <c r="J4133" s="11"/>
    </row>
    <row r="4134" spans="1:10" ht="15.75" x14ac:dyDescent="0.3">
      <c r="A4134" s="12" t="str">
        <f>HYPERLINK("https://parts-sales.ru/parts/MAN/81254750184","81.25475-0184")</f>
        <v>81.25475-0184</v>
      </c>
      <c r="B4134" s="12" t="str">
        <f>HYPERLINK("https://parts-sales.ru/parts/MAN/81254750184","Корпус штекера C4-32,0-2,5-CODE2DA/ST-GR")</f>
        <v>Корпус штекера C4-32,0-2,5-CODE2DA/ST-GR</v>
      </c>
      <c r="C4134" s="3" t="s">
        <v>8</v>
      </c>
      <c r="D4134" s="4">
        <v>3063.6</v>
      </c>
      <c r="E4134" s="4">
        <v>1268</v>
      </c>
      <c r="F4134" s="8">
        <v>0.59</v>
      </c>
      <c r="H4134" s="11"/>
      <c r="I4134" s="11"/>
      <c r="J4134" s="11"/>
    </row>
    <row r="4135" spans="1:10" ht="15.75" x14ac:dyDescent="0.3">
      <c r="A4135" s="13" t="str">
        <f>HYPERLINK("https://parts-sales.ru/parts/MAN/81612100602","81.61210-0602")</f>
        <v>81.61210-0602</v>
      </c>
      <c r="B4135" s="13" t="str">
        <f>HYPERLINK("https://parts-sales.ru/parts/MAN/81612100602","Удлинение крыльев")</f>
        <v>Удлинение крыльев</v>
      </c>
      <c r="C4135" s="5" t="s">
        <v>15</v>
      </c>
      <c r="D4135" s="6">
        <v>41772</v>
      </c>
      <c r="E4135" s="6">
        <v>24678</v>
      </c>
      <c r="F4135" s="9">
        <v>0.41</v>
      </c>
      <c r="H4135" s="11"/>
      <c r="I4135" s="11"/>
      <c r="J4135" s="11"/>
    </row>
    <row r="4136" spans="1:10" ht="15.75" x14ac:dyDescent="0.3">
      <c r="A4136" s="12" t="str">
        <f>HYPERLINK("https://parts-sales.ru/parts/MAN/81965030688","81.96503-0688")</f>
        <v>81.96503-0688</v>
      </c>
      <c r="B4136" s="12" t="str">
        <f>HYPERLINK("https://parts-sales.ru/parts/MAN/81965030688","Уплотнительное кольцо 24,2X3X30,2-FKM1-7")</f>
        <v>Уплотнительное кольцо 24,2X3X30,2-FKM1-7</v>
      </c>
      <c r="C4136" s="3" t="s">
        <v>6</v>
      </c>
      <c r="D4136" s="4">
        <v>996</v>
      </c>
      <c r="E4136" s="4">
        <v>529</v>
      </c>
      <c r="F4136" s="8">
        <v>0.47</v>
      </c>
      <c r="H4136" s="11"/>
      <c r="I4136" s="11"/>
      <c r="J4136" s="11"/>
    </row>
    <row r="4137" spans="1:10" ht="15.75" x14ac:dyDescent="0.3">
      <c r="A4137" s="13" t="str">
        <f>HYPERLINK("https://parts-sales.ru/parts/MAN/81437180052","81.43718-0052")</f>
        <v>81.43718-0052</v>
      </c>
      <c r="B4137" s="13" t="str">
        <f>HYPERLINK("https://parts-sales.ru/parts/MAN/81437180052","Крышка подшипника")</f>
        <v>Крышка подшипника</v>
      </c>
      <c r="C4137" s="5" t="s">
        <v>34</v>
      </c>
      <c r="D4137" s="6">
        <v>7927.2</v>
      </c>
      <c r="E4137" s="6">
        <v>2922</v>
      </c>
      <c r="F4137" s="9">
        <v>0.63</v>
      </c>
      <c r="H4137" s="11"/>
      <c r="I4137" s="11"/>
      <c r="J4137" s="11"/>
    </row>
    <row r="4138" spans="1:10" ht="15.75" x14ac:dyDescent="0.3">
      <c r="A4138" s="12" t="str">
        <f>HYPERLINK("https://parts-sales.ru/parts/MAN/06014946409","06.01494-6409")</f>
        <v>06.01494-6409</v>
      </c>
      <c r="B4138" s="12" t="str">
        <f>HYPERLINK("https://parts-sales.ru/parts/MAN/06014946409","6-гранный установочный винт M14X1,5X50-1")</f>
        <v>6-гранный установочный винт M14X1,5X50-1</v>
      </c>
      <c r="C4138" s="3" t="s">
        <v>6</v>
      </c>
      <c r="D4138" s="4">
        <v>1592.3999999999999</v>
      </c>
      <c r="E4138" s="4">
        <v>654</v>
      </c>
      <c r="F4138" s="8">
        <v>0.59</v>
      </c>
      <c r="H4138" s="11"/>
      <c r="I4138" s="11"/>
      <c r="J4138" s="11"/>
    </row>
    <row r="4139" spans="1:10" ht="15.75" x14ac:dyDescent="0.3">
      <c r="A4139" s="13" t="str">
        <f>HYPERLINK("https://parts-sales.ru/parts/MAN/81254350927","81.25435-0927")</f>
        <v>81.25435-0927</v>
      </c>
      <c r="B4139" s="13" t="str">
        <f>HYPERLINK("https://parts-sales.ru/parts/MAN/81254350927","Корпус штекера 18-2,8-CODE6-NF")</f>
        <v>Корпус штекера 18-2,8-CODE6-NF</v>
      </c>
      <c r="C4139" s="5" t="s">
        <v>8</v>
      </c>
      <c r="D4139" s="6">
        <v>1740</v>
      </c>
      <c r="E4139" s="6">
        <v>714</v>
      </c>
      <c r="F4139" s="9">
        <v>0.59</v>
      </c>
      <c r="H4139" s="11"/>
      <c r="I4139" s="11"/>
      <c r="J4139" s="11"/>
    </row>
    <row r="4140" spans="1:10" ht="15.75" x14ac:dyDescent="0.3">
      <c r="A4140" s="12" t="str">
        <f>HYPERLINK("https://parts-sales.ru/parts/MAN/51058055782","51.05805-5782")</f>
        <v>51.05805-5782</v>
      </c>
      <c r="B4140" s="12" t="str">
        <f>HYPERLINK("https://parts-sales.ru/parts/MAN/51058055782","Масломерный щуп")</f>
        <v>Масломерный щуп</v>
      </c>
      <c r="C4140" s="3" t="s">
        <v>17</v>
      </c>
      <c r="D4140" s="4">
        <v>3124.7999999999997</v>
      </c>
      <c r="E4140" s="4">
        <v>1646</v>
      </c>
      <c r="F4140" s="8">
        <v>0.47</v>
      </c>
      <c r="H4140" s="11"/>
      <c r="I4140" s="11"/>
      <c r="J4140" s="11"/>
    </row>
    <row r="4141" spans="1:10" ht="15.75" x14ac:dyDescent="0.3">
      <c r="A4141" s="13" t="str">
        <f>HYPERLINK("https://parts-sales.ru/parts/MAN/51069010195","51.06901-0195")</f>
        <v>51.06901-0195</v>
      </c>
      <c r="B4141" s="13" t="str">
        <f>HYPERLINK("https://parts-sales.ru/parts/MAN/51069010195","упл. насоса системы охлаждения")</f>
        <v>упл. насоса системы охлаждения</v>
      </c>
      <c r="C4141" s="5" t="s">
        <v>17</v>
      </c>
      <c r="D4141" s="6">
        <v>4806</v>
      </c>
      <c r="E4141" s="6">
        <v>1955</v>
      </c>
      <c r="F4141" s="9">
        <v>0.59</v>
      </c>
      <c r="H4141" s="11"/>
      <c r="I4141" s="11"/>
      <c r="J4141" s="11"/>
    </row>
    <row r="4142" spans="1:10" ht="15.75" x14ac:dyDescent="0.3">
      <c r="A4142" s="12" t="str">
        <f>HYPERLINK("https://parts-sales.ru/parts/MAN/06461120205","06.46112-0205")</f>
        <v>06.46112-0205</v>
      </c>
      <c r="B4142" s="12" t="str">
        <f>HYPERLINK("https://parts-sales.ru/parts/MAN/06461120205","Стремянка рессоры A-M18X2-91X205X105-K")</f>
        <v>Стремянка рессоры A-M18X2-91X205X105-K</v>
      </c>
      <c r="C4142" s="3" t="s">
        <v>6</v>
      </c>
      <c r="D4142" s="4">
        <v>9421.1999999999989</v>
      </c>
      <c r="E4142" s="4">
        <v>4922</v>
      </c>
      <c r="F4142" s="8">
        <v>0.48</v>
      </c>
      <c r="H4142" s="11"/>
      <c r="I4142" s="11"/>
      <c r="J4142" s="11"/>
    </row>
    <row r="4143" spans="1:10" ht="15.75" x14ac:dyDescent="0.3">
      <c r="A4143" s="13" t="str">
        <f>HYPERLINK("https://parts-sales.ru/parts/MAN/81274210316","81.27421-0316")</f>
        <v>81.27421-0316</v>
      </c>
      <c r="B4143" s="13" t="str">
        <f>HYPERLINK("https://parts-sales.ru/parts/MAN/81274210316","сенсор")</f>
        <v>сенсор</v>
      </c>
      <c r="C4143" s="5" t="s">
        <v>24</v>
      </c>
      <c r="D4143" s="6">
        <v>63672</v>
      </c>
      <c r="E4143" s="6">
        <v>25866</v>
      </c>
      <c r="F4143" s="9">
        <v>0.59</v>
      </c>
      <c r="H4143" s="11"/>
      <c r="I4143" s="11"/>
      <c r="J4143" s="11"/>
    </row>
    <row r="4144" spans="1:10" ht="15.75" x14ac:dyDescent="0.3">
      <c r="A4144" s="12" t="str">
        <f>HYPERLINK("https://parts-sales.ru/parts/MAN/81274210191","81.27421-0191")</f>
        <v>81.27421-0191</v>
      </c>
      <c r="B4144" s="12" t="str">
        <f>HYPERLINK("https://parts-sales.ru/parts/MAN/81274210191","Датчик температуры")</f>
        <v>Датчик температуры</v>
      </c>
      <c r="C4144" s="3" t="s">
        <v>24</v>
      </c>
      <c r="D4144" s="4">
        <v>33252</v>
      </c>
      <c r="E4144" s="4">
        <v>13482</v>
      </c>
      <c r="F4144" s="8">
        <v>0.59</v>
      </c>
      <c r="H4144" s="11"/>
      <c r="I4144" s="11"/>
      <c r="J4144" s="11"/>
    </row>
    <row r="4145" spans="1:10" ht="15.75" x14ac:dyDescent="0.3">
      <c r="A4145" s="13" t="str">
        <f>HYPERLINK("https://parts-sales.ru/parts/MAN/81084050036","81.08405-0036")</f>
        <v>81.08405-0036</v>
      </c>
      <c r="B4145" s="13" t="str">
        <f>HYPERLINK("https://parts-sales.ru/parts/MAN/81084050036","Предохранительный вкладыш")</f>
        <v>Предохранительный вкладыш</v>
      </c>
      <c r="C4145" s="5" t="s">
        <v>18</v>
      </c>
      <c r="D4145" s="6">
        <v>18687.599999999999</v>
      </c>
      <c r="E4145" s="6">
        <v>9158</v>
      </c>
      <c r="F4145" s="9">
        <v>0.51</v>
      </c>
      <c r="H4145" s="11"/>
      <c r="I4145" s="11"/>
      <c r="J4145" s="11"/>
    </row>
    <row r="4146" spans="1:10" ht="15.75" x14ac:dyDescent="0.3">
      <c r="A4146" s="12" t="str">
        <f>HYPERLINK("https://parts-sales.ru/parts/MAN/81523156206","81.52315-6206")</f>
        <v>81.52315-6206</v>
      </c>
      <c r="B4146" s="12" t="str">
        <f>HYPERLINK("https://parts-sales.ru/parts/MAN/81523156206","Клапан ручного тормоза")</f>
        <v>Клапан ручного тормоза</v>
      </c>
      <c r="C4146" s="3" t="s">
        <v>38</v>
      </c>
      <c r="D4146" s="4">
        <v>28230</v>
      </c>
      <c r="E4146" s="4">
        <v>12969</v>
      </c>
      <c r="F4146" s="8">
        <v>0.54</v>
      </c>
      <c r="H4146" s="11"/>
      <c r="I4146" s="11"/>
      <c r="J4146" s="11"/>
    </row>
    <row r="4147" spans="1:10" ht="15.75" x14ac:dyDescent="0.3">
      <c r="A4147" s="13" t="str">
        <f>HYPERLINK("https://parts-sales.ru/parts/MAN/81615100879","81.61510-0879")</f>
        <v>81.61510-0879</v>
      </c>
      <c r="B4147" s="13" t="str">
        <f>HYPERLINK("https://parts-sales.ru/parts/MAN/81615100879","передняя часть крыла F99L/R 17/34/39")</f>
        <v>передняя часть крыла F99L/R 17/34/39</v>
      </c>
      <c r="C4147" s="5" t="s">
        <v>15</v>
      </c>
      <c r="D4147" s="6">
        <v>114760.8</v>
      </c>
      <c r="E4147" s="6">
        <v>23734</v>
      </c>
      <c r="F4147" s="9">
        <v>0.79</v>
      </c>
      <c r="H4147" s="11"/>
      <c r="I4147" s="11"/>
      <c r="J4147" s="11"/>
    </row>
    <row r="4148" spans="1:10" ht="15.75" x14ac:dyDescent="0.3">
      <c r="A4148" s="12" t="str">
        <f>HYPERLINK("https://parts-sales.ru/parts/MAN/81639030319","81.63903-0319")</f>
        <v>81.63903-0319</v>
      </c>
      <c r="B4148" s="12" t="str">
        <f>HYPERLINK("https://parts-sales.ru/parts/MAN/81639030319","Декоративная крышка F99 L/R17,34,39,44,4")</f>
        <v>Декоративная крышка F99 L/R17,34,39,44,4</v>
      </c>
      <c r="C4148" s="3" t="s">
        <v>15</v>
      </c>
      <c r="D4148" s="4">
        <v>1204.8</v>
      </c>
      <c r="E4148" s="4">
        <v>481</v>
      </c>
      <c r="F4148" s="8">
        <v>0.6</v>
      </c>
      <c r="H4148" s="11"/>
      <c r="I4148" s="11"/>
      <c r="J4148" s="11"/>
    </row>
    <row r="4149" spans="1:10" ht="15.75" x14ac:dyDescent="0.3">
      <c r="A4149" s="13" t="str">
        <f>HYPERLINK("https://parts-sales.ru/parts/MAN/81323130322","81.32313-0322")</f>
        <v>81.32313-0322</v>
      </c>
      <c r="B4149" s="13" t="str">
        <f>HYPERLINK("https://parts-sales.ru/parts/MAN/81323130322","Пусковая шайба")</f>
        <v>Пусковая шайба</v>
      </c>
      <c r="C4149" s="5" t="s">
        <v>29</v>
      </c>
      <c r="D4149" s="6">
        <v>4620</v>
      </c>
      <c r="E4149" s="6">
        <v>1842</v>
      </c>
      <c r="F4149" s="9">
        <v>0.6</v>
      </c>
      <c r="H4149" s="11"/>
      <c r="I4149" s="11"/>
      <c r="J4149" s="11"/>
    </row>
    <row r="4150" spans="1:10" ht="15.75" x14ac:dyDescent="0.3">
      <c r="A4150" s="12" t="str">
        <f>HYPERLINK("https://parts-sales.ru/parts/MAN/81251016585","81.25101-6585")</f>
        <v>81.25101-6585</v>
      </c>
      <c r="B4150" s="12" t="str">
        <f>HYPERLINK("https://parts-sales.ru/parts/MAN/81251016585","Фара правая сторона")</f>
        <v>Фара правая сторона</v>
      </c>
      <c r="C4150" s="3" t="s">
        <v>13</v>
      </c>
      <c r="D4150" s="4">
        <v>65635.199999999997</v>
      </c>
      <c r="E4150" s="4">
        <v>37336</v>
      </c>
      <c r="F4150" s="8">
        <v>0.43</v>
      </c>
      <c r="H4150" s="11"/>
      <c r="I4150" s="11"/>
      <c r="J4150" s="11"/>
    </row>
    <row r="4151" spans="1:10" ht="15.75" x14ac:dyDescent="0.3">
      <c r="A4151" s="13" t="str">
        <f>HYPERLINK("https://parts-sales.ru/parts/MAN/81466106838","81.46610-6838")</f>
        <v>81.46610-6838</v>
      </c>
      <c r="B4151" s="13" t="str">
        <f>HYPERLINK("https://parts-sales.ru/parts/MAN/81466106838","Продольная рулевая тяга TRW")</f>
        <v>Продольная рулевая тяга TRW</v>
      </c>
      <c r="C4151" s="5" t="s">
        <v>37</v>
      </c>
      <c r="D4151" s="6">
        <v>74301.599999999991</v>
      </c>
      <c r="E4151" s="6">
        <v>29583</v>
      </c>
      <c r="F4151" s="9">
        <v>0.6</v>
      </c>
      <c r="H4151" s="11"/>
      <c r="I4151" s="11"/>
      <c r="J4151" s="11"/>
    </row>
    <row r="4152" spans="1:10" ht="15.75" x14ac:dyDescent="0.3">
      <c r="A4152" s="12" t="str">
        <f>HYPERLINK("https://parts-sales.ru/parts/MAN/51981816016","51.98181-6016")</f>
        <v>51.98181-6016</v>
      </c>
      <c r="B4152" s="12" t="str">
        <f>HYPERLINK("https://parts-sales.ru/parts/MAN/51981816016","Угловой соедин. штуцер NG12-NW10")</f>
        <v>Угловой соедин. штуцер NG12-NW10</v>
      </c>
      <c r="C4152" s="3" t="s">
        <v>17</v>
      </c>
      <c r="D4152" s="4">
        <v>2652</v>
      </c>
      <c r="E4152" s="4">
        <v>1503</v>
      </c>
      <c r="F4152" s="8">
        <v>0.43</v>
      </c>
      <c r="H4152" s="11"/>
      <c r="I4152" s="11"/>
      <c r="J4152" s="11"/>
    </row>
    <row r="4153" spans="1:10" ht="15.75" x14ac:dyDescent="0.3">
      <c r="A4153" s="13" t="str">
        <f>HYPERLINK("https://parts-sales.ru/parts/MAN/51965010583","51.96501-0583")</f>
        <v>51.96501-0583</v>
      </c>
      <c r="B4153" s="13" t="str">
        <f>HYPERLINK("https://parts-sales.ru/parts/MAN/51965010583","Круглое уплотнение 23,52X1,78-HNBR3-70")</f>
        <v>Круглое уплотнение 23,52X1,78-HNBR3-70</v>
      </c>
      <c r="C4153" s="5" t="s">
        <v>17</v>
      </c>
      <c r="D4153" s="6">
        <v>3351.6</v>
      </c>
      <c r="E4153" s="6">
        <v>1691</v>
      </c>
      <c r="F4153" s="9">
        <v>0.5</v>
      </c>
      <c r="H4153" s="11"/>
      <c r="I4153" s="11"/>
      <c r="J4153" s="11"/>
    </row>
    <row r="4154" spans="1:10" ht="15.75" x14ac:dyDescent="0.3">
      <c r="A4154" s="12" t="str">
        <f>HYPERLINK("https://parts-sales.ru/parts/MAN/81466010507","81.46601-0507")</f>
        <v>81.46601-0507</v>
      </c>
      <c r="B4154" s="12" t="str">
        <f>HYPERLINK("https://parts-sales.ru/parts/MAN/81466010507","Рулевая сошка Автом. с левост. распол. р")</f>
        <v>Рулевая сошка Автом. с левост. распол. р</v>
      </c>
      <c r="C4154" s="3" t="s">
        <v>37</v>
      </c>
      <c r="D4154" s="4">
        <v>132231.6</v>
      </c>
      <c r="E4154" s="4">
        <v>51844</v>
      </c>
      <c r="F4154" s="8">
        <v>0.61</v>
      </c>
      <c r="H4154" s="11"/>
      <c r="I4154" s="11"/>
      <c r="J4154" s="11"/>
    </row>
    <row r="4155" spans="1:10" ht="15.75" x14ac:dyDescent="0.3">
      <c r="A4155" s="13" t="str">
        <f>HYPERLINK("https://parts-sales.ru/parts/MAN/51934100146","51.93410-0146")</f>
        <v>51.93410-0146</v>
      </c>
      <c r="B4155" s="13" t="str">
        <f>HYPERLINK("https://parts-sales.ru/parts/MAN/51934100146","Радиальный шарикоподшипник")</f>
        <v>Радиальный шарикоподшипник</v>
      </c>
      <c r="C4155" s="5" t="s">
        <v>17</v>
      </c>
      <c r="D4155" s="6">
        <v>32194.799999999999</v>
      </c>
      <c r="E4155" s="6">
        <v>12606</v>
      </c>
      <c r="F4155" s="9">
        <v>0.61</v>
      </c>
      <c r="H4155" s="11"/>
      <c r="I4155" s="11"/>
      <c r="J4155" s="11"/>
    </row>
    <row r="4156" spans="1:10" ht="15.75" x14ac:dyDescent="0.3">
      <c r="A4156" s="12" t="str">
        <f>HYPERLINK("https://parts-sales.ru/parts/MAN/81934010062","81.93401-0062")</f>
        <v>81.93401-0062</v>
      </c>
      <c r="B4156" s="12" t="str">
        <f>HYPERLINK("https://parts-sales.ru/parts/MAN/81934010062","Упорный игол. роликоподшипник 104,5X128,")</f>
        <v>Упорный игол. роликоподшипник 104,5X128,</v>
      </c>
      <c r="C4156" s="3" t="s">
        <v>7</v>
      </c>
      <c r="D4156" s="4">
        <v>18708</v>
      </c>
      <c r="E4156" s="4">
        <v>7316</v>
      </c>
      <c r="F4156" s="8">
        <v>0.61</v>
      </c>
      <c r="H4156" s="11"/>
      <c r="I4156" s="11"/>
      <c r="J4156" s="11"/>
    </row>
    <row r="4157" spans="1:10" ht="15.75" x14ac:dyDescent="0.3">
      <c r="A4157" s="13" t="str">
        <f>HYPERLINK("https://parts-sales.ru/parts/MAN/81154030003","81.15403-0003")</f>
        <v>81.15403-0003</v>
      </c>
      <c r="B4157" s="13" t="str">
        <f>HYPERLINK("https://parts-sales.ru/parts/MAN/81154030003","Фил. элемент AdBlue")</f>
        <v>Фил. элемент AdBlue</v>
      </c>
      <c r="C4157" s="5" t="s">
        <v>21</v>
      </c>
      <c r="D4157" s="6">
        <v>2256</v>
      </c>
      <c r="E4157" s="6">
        <v>882</v>
      </c>
      <c r="F4157" s="9">
        <v>0.61</v>
      </c>
      <c r="H4157" s="11"/>
      <c r="I4157" s="11"/>
      <c r="J4157" s="11"/>
    </row>
    <row r="4158" spans="1:10" ht="15.75" x14ac:dyDescent="0.3">
      <c r="A4158" s="12" t="str">
        <f>HYPERLINK("https://parts-sales.ru/parts/MAN/06290200130","06.29020-0130")</f>
        <v>06.29020-0130</v>
      </c>
      <c r="B4158" s="12" t="str">
        <f>HYPERLINK("https://parts-sales.ru/parts/MAN/06290200130","Стопорное кольцо 50X2,00-ZNPHR5F")</f>
        <v>Стопорное кольцо 50X2,00-ZNPHR5F</v>
      </c>
      <c r="C4158" s="3" t="s">
        <v>6</v>
      </c>
      <c r="D4158" s="4">
        <v>1008</v>
      </c>
      <c r="E4158" s="4">
        <v>561</v>
      </c>
      <c r="F4158" s="8">
        <v>0.44</v>
      </c>
      <c r="H4158" s="11"/>
      <c r="I4158" s="11"/>
      <c r="J4158" s="11"/>
    </row>
    <row r="4159" spans="1:10" ht="15.75" x14ac:dyDescent="0.3">
      <c r="A4159" s="13" t="str">
        <f>HYPERLINK("https://parts-sales.ru/parts/MAN/51966010592","51.96601-0592")</f>
        <v>51.96601-0592</v>
      </c>
      <c r="B4159" s="13" t="str">
        <f>HYPERLINK("https://parts-sales.ru/parts/MAN/51966010592","Уплотнение 25X58X9X1-AFO1")</f>
        <v>Уплотнение 25X58X9X1-AFO1</v>
      </c>
      <c r="C4159" s="5" t="s">
        <v>17</v>
      </c>
      <c r="D4159" s="6">
        <v>789.6</v>
      </c>
      <c r="E4159" s="6">
        <v>393</v>
      </c>
      <c r="F4159" s="9">
        <v>0.5</v>
      </c>
      <c r="H4159" s="11"/>
      <c r="I4159" s="11"/>
      <c r="J4159" s="11"/>
    </row>
    <row r="4160" spans="1:10" ht="15.75" x14ac:dyDescent="0.3">
      <c r="A4160" s="12" t="str">
        <f>HYPERLINK("https://parts-sales.ru/parts/MAN/81981836083","81.98183-6083")</f>
        <v>81.98183-6083</v>
      </c>
      <c r="B4160" s="12" t="str">
        <f>HYPERLINK("https://parts-sales.ru/parts/MAN/81981836083","Штекер G-SN12-D9-CUZN/232")</f>
        <v>Штекер G-SN12-D9-CUZN/232</v>
      </c>
      <c r="C4160" s="3" t="s">
        <v>41</v>
      </c>
      <c r="D4160" s="4">
        <v>2604</v>
      </c>
      <c r="E4160" s="4">
        <v>1006</v>
      </c>
      <c r="F4160" s="8">
        <v>0.61</v>
      </c>
      <c r="H4160" s="11"/>
      <c r="I4160" s="11"/>
      <c r="J4160" s="11"/>
    </row>
    <row r="4161" spans="1:10" ht="15.75" x14ac:dyDescent="0.3">
      <c r="A4161" s="13" t="str">
        <f>HYPERLINK("https://parts-sales.ru/parts/MAN/81965030476","81.96503-0476")</f>
        <v>81.96503-0476</v>
      </c>
      <c r="B4161" s="13" t="str">
        <f>HYPERLINK("https://parts-sales.ru/parts/MAN/81965030476","Круглое уплотнение 19,4X2,5-HNBR-70")</f>
        <v>Круглое уплотнение 19,4X2,5-HNBR-70</v>
      </c>
      <c r="C4161" s="5" t="s">
        <v>6</v>
      </c>
      <c r="D4161" s="6">
        <v>748.8</v>
      </c>
      <c r="E4161" s="6">
        <v>369</v>
      </c>
      <c r="F4161" s="9">
        <v>0.51</v>
      </c>
      <c r="H4161" s="11"/>
      <c r="I4161" s="11"/>
      <c r="J4161" s="11"/>
    </row>
    <row r="4162" spans="1:10" ht="15.75" x14ac:dyDescent="0.3">
      <c r="A4162" s="12" t="str">
        <f>HYPERLINK("https://parts-sales.ru/parts/MAN/51123075249","51.12307-5249")</f>
        <v>51.12307-5249</v>
      </c>
      <c r="B4162" s="12" t="str">
        <f>HYPERLINK("https://parts-sales.ru/parts/MAN/51123075249","Топливопровод VORFPPE-KSC")</f>
        <v>Топливопровод VORFPPE-KSC</v>
      </c>
      <c r="C4162" s="3" t="s">
        <v>17</v>
      </c>
      <c r="D4162" s="4">
        <v>49522.799999999996</v>
      </c>
      <c r="E4162" s="4">
        <v>18917</v>
      </c>
      <c r="F4162" s="8">
        <v>0.62</v>
      </c>
      <c r="H4162" s="11"/>
      <c r="I4162" s="11"/>
      <c r="J4162" s="11"/>
    </row>
    <row r="4163" spans="1:10" ht="15.75" x14ac:dyDescent="0.3">
      <c r="A4163" s="13" t="str">
        <f>HYPERLINK("https://parts-sales.ru/parts/MAN/51930200334","51.93020-0334")</f>
        <v>51.93020-0334</v>
      </c>
      <c r="B4163" s="13" t="str">
        <f>HYPERLINK("https://parts-sales.ru/parts/MAN/51930200334","беговое кольцо")</f>
        <v>беговое кольцо</v>
      </c>
      <c r="C4163" s="5" t="s">
        <v>17</v>
      </c>
      <c r="D4163" s="6">
        <v>19018.8</v>
      </c>
      <c r="E4163" s="6">
        <v>7223</v>
      </c>
      <c r="F4163" s="9">
        <v>0.62</v>
      </c>
      <c r="H4163" s="11"/>
      <c r="I4163" s="11"/>
      <c r="J4163" s="11"/>
    </row>
    <row r="4164" spans="1:10" ht="15.75" x14ac:dyDescent="0.3">
      <c r="A4164" s="12" t="str">
        <f>HYPERLINK("https://parts-sales.ru/parts/MAN/81253206112","81.25320-6112")</f>
        <v>81.25320-6112</v>
      </c>
      <c r="B4164" s="12" t="str">
        <f>HYPERLINK("https://parts-sales.ru/parts/MAN/81253206112","Дополнительная фара Указатель поворота")</f>
        <v>Дополнительная фара Указатель поворота</v>
      </c>
      <c r="C4164" s="3" t="s">
        <v>13</v>
      </c>
      <c r="D4164" s="4">
        <v>30912</v>
      </c>
      <c r="E4164" s="4">
        <v>11008</v>
      </c>
      <c r="F4164" s="8">
        <v>0.64</v>
      </c>
      <c r="H4164" s="11"/>
      <c r="I4164" s="11"/>
      <c r="J4164" s="11"/>
    </row>
    <row r="4165" spans="1:10" ht="15.75" x14ac:dyDescent="0.3">
      <c r="A4165" s="13" t="str">
        <f>HYPERLINK("https://parts-sales.ru/parts/MAN/51123075792","51.12307-5792")</f>
        <v>51.12307-5792</v>
      </c>
      <c r="B4165" s="13" t="str">
        <f>HYPERLINK("https://parts-sales.ru/parts/MAN/51123075792","Топливопровод Фильтр грубой очистки")</f>
        <v>Топливопровод Фильтр грубой очистки</v>
      </c>
      <c r="C4165" s="5" t="s">
        <v>17</v>
      </c>
      <c r="D4165" s="6">
        <v>16884</v>
      </c>
      <c r="E4165" s="6">
        <v>6403</v>
      </c>
      <c r="F4165" s="9">
        <v>0.62</v>
      </c>
      <c r="H4165" s="11"/>
      <c r="I4165" s="11"/>
      <c r="J4165" s="11"/>
    </row>
    <row r="4166" spans="1:10" ht="15.75" x14ac:dyDescent="0.3">
      <c r="A4166" s="12" t="str">
        <f>HYPERLINK("https://parts-sales.ru/parts/MAN/51904906001","51.90490-6001")</f>
        <v>51.90490-6001</v>
      </c>
      <c r="B4166" s="12" t="str">
        <f>HYPERLINK("https://parts-sales.ru/parts/MAN/51904906001","болт 1 головка цилиндра")</f>
        <v>болт 1 головка цилиндра</v>
      </c>
      <c r="C4166" s="3" t="s">
        <v>17</v>
      </c>
      <c r="D4166" s="4">
        <v>7536</v>
      </c>
      <c r="E4166" s="4">
        <v>4080</v>
      </c>
      <c r="F4166" s="8">
        <v>0.46</v>
      </c>
      <c r="H4166" s="11"/>
      <c r="I4166" s="11"/>
      <c r="J4166" s="11"/>
    </row>
    <row r="4167" spans="1:10" ht="15.75" x14ac:dyDescent="0.3">
      <c r="A4167" s="13" t="str">
        <f>HYPERLINK("https://parts-sales.ru/parts/MAN/06461130340","06.46113-0340")</f>
        <v>06.46113-0340</v>
      </c>
      <c r="B4167" s="13" t="str">
        <f>HYPERLINK("https://parts-sales.ru/parts/MAN/06461130340","Стремянка рессоры A-M20X2-91X340-K")</f>
        <v>Стремянка рессоры A-M20X2-91X340-K</v>
      </c>
      <c r="C4167" s="5" t="s">
        <v>6</v>
      </c>
      <c r="D4167" s="6">
        <v>16344</v>
      </c>
      <c r="E4167" s="6">
        <v>5774</v>
      </c>
      <c r="F4167" s="9">
        <v>0.65</v>
      </c>
      <c r="H4167" s="11"/>
      <c r="I4167" s="11"/>
      <c r="J4167" s="11"/>
    </row>
    <row r="4168" spans="1:10" ht="15.75" x14ac:dyDescent="0.3">
      <c r="A4168" s="12" t="str">
        <f>HYPERLINK("https://parts-sales.ru/parts/MAN/81271210095","81.27121-0095")</f>
        <v>81.27121-0095</v>
      </c>
      <c r="B4168" s="12" t="str">
        <f>HYPERLINK("https://parts-sales.ru/parts/MAN/81271210095","Импульсный датчик KITAS 2 + RI 90MM")</f>
        <v>Импульсный датчик KITAS 2 + RI 90MM</v>
      </c>
      <c r="C4168" s="3" t="s">
        <v>24</v>
      </c>
      <c r="D4168" s="4">
        <v>60817.2</v>
      </c>
      <c r="E4168" s="4">
        <v>32826</v>
      </c>
      <c r="F4168" s="8">
        <v>0.46</v>
      </c>
      <c r="H4168" s="11"/>
      <c r="I4168" s="11"/>
      <c r="J4168" s="11"/>
    </row>
    <row r="4169" spans="1:10" ht="15.75" x14ac:dyDescent="0.3">
      <c r="A4169" s="13" t="str">
        <f>HYPERLINK("https://parts-sales.ru/parts/MAN/81637310378","81.63731-0378")</f>
        <v>81.63731-0378</v>
      </c>
      <c r="B4169" s="13" t="str">
        <f>HYPERLINK("https://parts-sales.ru/parts/MAN/81637310378","Уплотнение")</f>
        <v>Уплотнение</v>
      </c>
      <c r="C4169" s="5" t="s">
        <v>15</v>
      </c>
      <c r="D4169" s="6">
        <v>5592</v>
      </c>
      <c r="E4169" s="6">
        <v>2709</v>
      </c>
      <c r="F4169" s="9">
        <v>0.52</v>
      </c>
      <c r="H4169" s="11"/>
      <c r="I4169" s="11"/>
      <c r="J4169" s="11"/>
    </row>
    <row r="4170" spans="1:10" ht="15.75" x14ac:dyDescent="0.3">
      <c r="A4170" s="12" t="str">
        <f>HYPERLINK("https://parts-sales.ru/parts/MAN/51274210348","51.27421-0348")</f>
        <v>51.27421-0348</v>
      </c>
      <c r="B4170" s="12" t="str">
        <f>HYPERLINK("https://parts-sales.ru/parts/MAN/51274210348","Зонд для изм. уровня жидкости")</f>
        <v>Зонд для изм. уровня жидкости</v>
      </c>
      <c r="C4170" s="3" t="s">
        <v>17</v>
      </c>
      <c r="D4170" s="4">
        <v>64656</v>
      </c>
      <c r="E4170" s="4">
        <v>34797</v>
      </c>
      <c r="F4170" s="8">
        <v>0.46</v>
      </c>
      <c r="H4170" s="11"/>
      <c r="I4170" s="11"/>
      <c r="J4170" s="11"/>
    </row>
    <row r="4171" spans="1:10" ht="15.75" x14ac:dyDescent="0.3">
      <c r="A4171" s="13" t="str">
        <f>HYPERLINK("https://parts-sales.ru/parts/MAN/81416105863","81.41610-5863")</f>
        <v>81.41610-5863</v>
      </c>
      <c r="B4171" s="13" t="str">
        <f>HYPERLINK("https://parts-sales.ru/parts/MAN/81416105863","бок. часть пласт. бампера")</f>
        <v>бок. часть пласт. бампера</v>
      </c>
      <c r="C4171" s="5" t="s">
        <v>32</v>
      </c>
      <c r="D4171" s="6">
        <v>79548</v>
      </c>
      <c r="E4171" s="6">
        <v>29852</v>
      </c>
      <c r="F4171" s="9">
        <v>0.62</v>
      </c>
      <c r="H4171" s="11"/>
      <c r="I4171" s="11"/>
      <c r="J4171" s="11"/>
    </row>
    <row r="4172" spans="1:10" ht="15.75" x14ac:dyDescent="0.3">
      <c r="A4172" s="12" t="str">
        <f>HYPERLINK("https://parts-sales.ru/parts/MAN/81254750117","81.25475-0117")</f>
        <v>81.25475-0117</v>
      </c>
      <c r="B4172" s="12" t="str">
        <f>HYPERLINK("https://parts-sales.ru/parts/MAN/81254750117","Цоколь реле 9-2,8-5,8-SW/WS")</f>
        <v>Цоколь реле 9-2,8-5,8-SW/WS</v>
      </c>
      <c r="C4172" s="3" t="s">
        <v>8</v>
      </c>
      <c r="D4172" s="4">
        <v>1236</v>
      </c>
      <c r="E4172" s="4">
        <v>463</v>
      </c>
      <c r="F4172" s="8">
        <v>0.63</v>
      </c>
      <c r="H4172" s="11"/>
      <c r="I4172" s="11"/>
      <c r="J4172" s="11"/>
    </row>
    <row r="4173" spans="1:10" ht="15.75" x14ac:dyDescent="0.3">
      <c r="A4173" s="13" t="str">
        <f>HYPERLINK("https://parts-sales.ru/parts/MAN/81254750335","81.25475-0335")</f>
        <v>81.25475-0335</v>
      </c>
      <c r="B4173" s="13" t="str">
        <f>HYPERLINK("https://parts-sales.ru/parts/MAN/81254750335","Корпус штифта HDSCS-D-6+4POLIG CODE A")</f>
        <v>Корпус штифта HDSCS-D-6+4POLIG CODE A</v>
      </c>
      <c r="C4173" s="5" t="s">
        <v>8</v>
      </c>
      <c r="D4173" s="6">
        <v>3324</v>
      </c>
      <c r="E4173" s="6">
        <v>1597</v>
      </c>
      <c r="F4173" s="9">
        <v>0.52</v>
      </c>
      <c r="H4173" s="11"/>
      <c r="I4173" s="11"/>
      <c r="J4173" s="11"/>
    </row>
    <row r="4174" spans="1:10" ht="15.75" x14ac:dyDescent="0.3">
      <c r="A4174" s="12" t="str">
        <f>HYPERLINK("https://parts-sales.ru/parts/MAN/51039050182","51.03905-0182")</f>
        <v>51.03905-0182</v>
      </c>
      <c r="B4174" s="12" t="str">
        <f>HYPERLINK("https://parts-sales.ru/parts/MAN/51039050182","упл. крышки головки цилиндра")</f>
        <v>упл. крышки головки цилиндра</v>
      </c>
      <c r="C4174" s="3" t="s">
        <v>17</v>
      </c>
      <c r="D4174" s="4">
        <v>16860</v>
      </c>
      <c r="E4174" s="4">
        <v>8095</v>
      </c>
      <c r="F4174" s="8">
        <v>0.52</v>
      </c>
      <c r="H4174" s="11"/>
      <c r="I4174" s="11"/>
      <c r="J4174" s="11"/>
    </row>
    <row r="4175" spans="1:10" ht="15.75" x14ac:dyDescent="0.3">
      <c r="A4175" s="13" t="str">
        <f>HYPERLINK("https://parts-sales.ru/parts/MAN/51103040148","51.10304-0148")</f>
        <v>51.10304-0148</v>
      </c>
      <c r="B4175" s="13" t="str">
        <f>HYPERLINK("https://parts-sales.ru/parts/MAN/51103040148","Нагнетательная проводка Цилиндр 5")</f>
        <v>Нагнетательная проводка Цилиндр 5</v>
      </c>
      <c r="C4175" s="5" t="s">
        <v>17</v>
      </c>
      <c r="D4175" s="6">
        <v>25104</v>
      </c>
      <c r="E4175" s="6">
        <v>12015</v>
      </c>
      <c r="F4175" s="9">
        <v>0.52</v>
      </c>
      <c r="H4175" s="11"/>
      <c r="I4175" s="11"/>
      <c r="J4175" s="11"/>
    </row>
    <row r="4176" spans="1:10" ht="15.75" x14ac:dyDescent="0.3">
      <c r="A4176" s="12" t="str">
        <f>HYPERLINK("https://parts-sales.ru/parts/MAN/81434026366","81.43402-6366")</f>
        <v>81.43402-6366</v>
      </c>
      <c r="B4176" s="12" t="str">
        <f>HYPERLINK("https://parts-sales.ru/parts/MAN/81434026366","Параболическая рессора")</f>
        <v>Параболическая рессора</v>
      </c>
      <c r="C4176" s="3" t="s">
        <v>34</v>
      </c>
      <c r="D4176" s="4">
        <v>353329.2</v>
      </c>
      <c r="E4176" s="4">
        <v>187769</v>
      </c>
      <c r="F4176" s="8">
        <v>0.47</v>
      </c>
      <c r="H4176" s="11"/>
      <c r="I4176" s="11"/>
      <c r="J4176" s="11"/>
    </row>
    <row r="4177" spans="1:10" ht="15.75" x14ac:dyDescent="0.3">
      <c r="A4177" s="13" t="str">
        <f>HYPERLINK("https://parts-sales.ru/parts/MAN/06221200913","06.22120-0913")</f>
        <v>06.22120-0913</v>
      </c>
      <c r="B4177" s="13" t="str">
        <f>HYPERLINK("https://parts-sales.ru/parts/MAN/06221200913","Трубчатый разрезной штифт 5X26-ST")</f>
        <v>Трубчатый разрезной штифт 5X26-ST</v>
      </c>
      <c r="C4177" s="5" t="s">
        <v>6</v>
      </c>
      <c r="D4177" s="6">
        <v>312</v>
      </c>
      <c r="E4177" s="6">
        <v>116</v>
      </c>
      <c r="F4177" s="9">
        <v>0.63</v>
      </c>
      <c r="H4177" s="11"/>
      <c r="I4177" s="11"/>
      <c r="J4177" s="11"/>
    </row>
    <row r="4178" spans="1:10" ht="15.75" x14ac:dyDescent="0.3">
      <c r="A4178" s="12" t="str">
        <f>HYPERLINK("https://parts-sales.ru/parts/MAN/81612100928","81.61210-0928")</f>
        <v>81.61210-0928</v>
      </c>
      <c r="B4178" s="12" t="str">
        <f>HYPERLINK("https://parts-sales.ru/parts/MAN/81612100928","расширение крыла")</f>
        <v>расширение крыла</v>
      </c>
      <c r="C4178" s="3" t="s">
        <v>15</v>
      </c>
      <c r="D4178" s="4">
        <v>17634</v>
      </c>
      <c r="E4178" s="4">
        <v>8404</v>
      </c>
      <c r="F4178" s="8">
        <v>0.52</v>
      </c>
      <c r="H4178" s="11"/>
      <c r="I4178" s="11"/>
      <c r="J4178" s="11"/>
    </row>
    <row r="4179" spans="1:10" ht="15.75" x14ac:dyDescent="0.3">
      <c r="A4179" s="13" t="str">
        <f>HYPERLINK("https://parts-sales.ru/parts/MAN/06563433236","06.56343-3236")</f>
        <v>06.56343-3236</v>
      </c>
      <c r="B4179" s="13" t="str">
        <f>HYPERLINK("https://parts-sales.ru/parts/MAN/06563433236","Круглое уплотнение 82X3B-FPM1-70-GN")</f>
        <v>Круглое уплотнение 82X3B-FPM1-70-GN</v>
      </c>
      <c r="C4179" s="5" t="s">
        <v>6</v>
      </c>
      <c r="D4179" s="6">
        <v>1740</v>
      </c>
      <c r="E4179" s="6">
        <v>827</v>
      </c>
      <c r="F4179" s="9">
        <v>0.52</v>
      </c>
      <c r="H4179" s="11"/>
      <c r="I4179" s="11"/>
      <c r="J4179" s="11"/>
    </row>
    <row r="4180" spans="1:10" ht="15.75" x14ac:dyDescent="0.3">
      <c r="A4180" s="12" t="str">
        <f>HYPERLINK("https://parts-sales.ru/parts/MAN/81615200304","81.61520-0304")</f>
        <v>81.61520-0304</v>
      </c>
      <c r="B4180" s="12" t="str">
        <f>HYPERLINK("https://parts-sales.ru/parts/MAN/81615200304","Подножка")</f>
        <v>Подножка</v>
      </c>
      <c r="C4180" s="3" t="s">
        <v>15</v>
      </c>
      <c r="D4180" s="4">
        <v>15760.8</v>
      </c>
      <c r="E4180" s="4">
        <v>7471</v>
      </c>
      <c r="F4180" s="8">
        <v>0.53</v>
      </c>
      <c r="H4180" s="11"/>
      <c r="I4180" s="11"/>
      <c r="J4180" s="11"/>
    </row>
    <row r="4181" spans="1:10" ht="15.75" x14ac:dyDescent="0.3">
      <c r="A4181" s="13" t="str">
        <f>HYPERLINK("https://parts-sales.ru/parts/MAN/81259026314","81.25902-6314")</f>
        <v>81.25902-6314</v>
      </c>
      <c r="B4181" s="13" t="str">
        <f>HYPERLINK("https://parts-sales.ru/parts/MAN/81259026314","Реле 23A HIGH/AKTIV")</f>
        <v>Реле 23A HIGH/AKTIV</v>
      </c>
      <c r="C4181" s="5" t="s">
        <v>9</v>
      </c>
      <c r="D4181" s="6">
        <v>55140</v>
      </c>
      <c r="E4181" s="6">
        <v>29020</v>
      </c>
      <c r="F4181" s="9">
        <v>0.47</v>
      </c>
      <c r="H4181" s="11"/>
      <c r="I4181" s="11"/>
      <c r="J4181" s="11"/>
    </row>
    <row r="4182" spans="1:10" ht="15.75" x14ac:dyDescent="0.3">
      <c r="A4182" s="12" t="str">
        <f>HYPERLINK("https://parts-sales.ru/parts/MAN/81615100980","81.61510-0980")</f>
        <v>81.61510-0980</v>
      </c>
      <c r="B4182" s="12" t="str">
        <f>HYPERLINK("https://parts-sales.ru/parts/MAN/81615100980","Подножка справа внизу")</f>
        <v>Подножка справа внизу</v>
      </c>
      <c r="C4182" s="3" t="s">
        <v>15</v>
      </c>
      <c r="D4182" s="4">
        <v>50600.4</v>
      </c>
      <c r="E4182" s="4">
        <v>26523</v>
      </c>
      <c r="F4182" s="8">
        <v>0.48</v>
      </c>
      <c r="H4182" s="11"/>
      <c r="I4182" s="11"/>
      <c r="J4182" s="11"/>
    </row>
    <row r="4183" spans="1:10" ht="15.75" x14ac:dyDescent="0.3">
      <c r="A4183" s="13" t="str">
        <f>HYPERLINK("https://parts-sales.ru/parts/MAN/81455030090","81.45503-0090")</f>
        <v>81.45503-0090</v>
      </c>
      <c r="B4183" s="13" t="str">
        <f>HYPERLINK("https://parts-sales.ru/parts/MAN/81455030090","6-гран. гайка с буртиком")</f>
        <v>6-гран. гайка с буртиком</v>
      </c>
      <c r="C4183" s="5" t="s">
        <v>36</v>
      </c>
      <c r="D4183" s="6">
        <v>1272</v>
      </c>
      <c r="E4183" s="6">
        <v>464</v>
      </c>
      <c r="F4183" s="9">
        <v>0.64</v>
      </c>
      <c r="H4183" s="11"/>
      <c r="I4183" s="11"/>
      <c r="J4183" s="11"/>
    </row>
    <row r="4184" spans="1:10" ht="15.75" x14ac:dyDescent="0.3">
      <c r="A4184" s="12" t="str">
        <f>HYPERLINK("https://parts-sales.ru/parts/MAN/81255050767","81.25505-0767")</f>
        <v>81.25505-0767</v>
      </c>
      <c r="B4184" s="12" t="str">
        <f>HYPERLINK("https://parts-sales.ru/parts/MAN/81255050767","Выключатель")</f>
        <v>Выключатель</v>
      </c>
      <c r="C4184" s="3" t="s">
        <v>22</v>
      </c>
      <c r="D4184" s="4">
        <v>22045.200000000001</v>
      </c>
      <c r="E4184" s="4">
        <v>8032</v>
      </c>
      <c r="F4184" s="8">
        <v>0.64</v>
      </c>
      <c r="H4184" s="11"/>
      <c r="I4184" s="11"/>
      <c r="J4184" s="11"/>
    </row>
    <row r="4185" spans="1:10" ht="15.75" x14ac:dyDescent="0.3">
      <c r="A4185" s="13" t="str">
        <f>HYPERLINK("https://parts-sales.ru/parts/MAN/81084050015","81.08405-0015")</f>
        <v>81.08405-0015</v>
      </c>
      <c r="B4185" s="13" t="str">
        <f>HYPERLINK("https://parts-sales.ru/parts/MAN/81084050015","Элемент воздушного фильтра")</f>
        <v>Элемент воздушного фильтра</v>
      </c>
      <c r="C4185" s="5" t="s">
        <v>18</v>
      </c>
      <c r="D4185" s="6">
        <v>18016.8</v>
      </c>
      <c r="E4185" s="6">
        <v>6544</v>
      </c>
      <c r="F4185" s="9">
        <v>0.64</v>
      </c>
      <c r="H4185" s="11"/>
      <c r="I4185" s="11"/>
      <c r="J4185" s="11"/>
    </row>
    <row r="4186" spans="1:10" ht="15.75" x14ac:dyDescent="0.3">
      <c r="A4186" s="12" t="str">
        <f>HYPERLINK("https://parts-sales.ru/parts/MAN/81416140105","81.41614-0105")</f>
        <v>81.41614-0105</v>
      </c>
      <c r="B4186" s="12" t="str">
        <f>HYPERLINK("https://parts-sales.ru/parts/MAN/81416140105","Противоударная решетка")</f>
        <v>Противоударная решетка</v>
      </c>
      <c r="C4186" s="3" t="s">
        <v>32</v>
      </c>
      <c r="D4186" s="4">
        <v>28285.200000000001</v>
      </c>
      <c r="E4186" s="4">
        <v>10233</v>
      </c>
      <c r="F4186" s="8">
        <v>0.64</v>
      </c>
      <c r="H4186" s="11"/>
      <c r="I4186" s="11"/>
      <c r="J4186" s="11"/>
    </row>
    <row r="4187" spans="1:10" ht="15.75" x14ac:dyDescent="0.3">
      <c r="A4187" s="13" t="str">
        <f>HYPERLINK("https://parts-sales.ru/parts/MAN/81432706163","81.43270-6163")</f>
        <v>81.43270-6163</v>
      </c>
      <c r="B4187" s="13" t="str">
        <f>HYPERLINK("https://parts-sales.ru/parts/MAN/81432706163","Треуг. рычаг независ. подвески")</f>
        <v>Треуг. рычаг независ. подвески</v>
      </c>
      <c r="C4187" s="5" t="s">
        <v>34</v>
      </c>
      <c r="D4187" s="6">
        <v>156560.4</v>
      </c>
      <c r="E4187" s="6">
        <v>80404</v>
      </c>
      <c r="F4187" s="9">
        <v>0.49</v>
      </c>
      <c r="H4187" s="11"/>
      <c r="I4187" s="11"/>
      <c r="J4187" s="11"/>
    </row>
    <row r="4188" spans="1:10" ht="15.75" x14ac:dyDescent="0.3">
      <c r="A4188" s="12" t="str">
        <f>HYPERLINK("https://parts-sales.ru/parts/MAN/81502110018","81.50211-0018")</f>
        <v>81.50211-0018</v>
      </c>
      <c r="B4188" s="12" t="str">
        <f>HYPERLINK("https://parts-sales.ru/parts/MAN/81502110018","Болт")</f>
        <v>Болт</v>
      </c>
      <c r="C4188" s="3" t="s">
        <v>38</v>
      </c>
      <c r="D4188" s="4">
        <v>1248</v>
      </c>
      <c r="E4188" s="4">
        <v>448</v>
      </c>
      <c r="F4188" s="8">
        <v>0.64</v>
      </c>
      <c r="H4188" s="11"/>
      <c r="I4188" s="11"/>
      <c r="J4188" s="11"/>
    </row>
    <row r="4189" spans="1:10" ht="15.75" x14ac:dyDescent="0.3">
      <c r="A4189" s="13" t="str">
        <f>HYPERLINK("https://parts-sales.ru/parts/MAN/81416100376","81.41610-0376")</f>
        <v>81.41610-0376</v>
      </c>
      <c r="B4189" s="13" t="str">
        <f>HYPERLINK("https://parts-sales.ru/parts/MAN/81416100376","крышка амортизатора")</f>
        <v>крышка амортизатора</v>
      </c>
      <c r="C4189" s="5" t="s">
        <v>32</v>
      </c>
      <c r="D4189" s="6">
        <v>5292</v>
      </c>
      <c r="E4189" s="6">
        <v>2679</v>
      </c>
      <c r="F4189" s="9">
        <v>0.49</v>
      </c>
      <c r="H4189" s="11"/>
      <c r="I4189" s="11"/>
      <c r="J4189" s="11"/>
    </row>
    <row r="4190" spans="1:10" ht="15.75" x14ac:dyDescent="0.3">
      <c r="A4190" s="12" t="str">
        <f>HYPERLINK("https://parts-sales.ru/parts/MAN/81416100368","81.41610-0368")</f>
        <v>81.41610-0368</v>
      </c>
      <c r="B4190" s="12" t="str">
        <f>HYPERLINK("https://parts-sales.ru/parts/MAN/81416100368","крышка амортизатора")</f>
        <v>крышка амортизатора</v>
      </c>
      <c r="C4190" s="3" t="s">
        <v>32</v>
      </c>
      <c r="D4190" s="4">
        <v>2743.2</v>
      </c>
      <c r="E4190" s="4">
        <v>1315</v>
      </c>
      <c r="F4190" s="8">
        <v>0.52</v>
      </c>
      <c r="H4190" s="11"/>
      <c r="I4190" s="11"/>
      <c r="J4190" s="11"/>
    </row>
    <row r="4191" spans="1:10" ht="15.75" x14ac:dyDescent="0.3">
      <c r="A4191" s="13" t="str">
        <f>HYPERLINK("https://parts-sales.ru/parts/MAN/51081015212","51.08101-5212")</f>
        <v>51.08101-5212</v>
      </c>
      <c r="B4191" s="13" t="str">
        <f>HYPERLINK("https://parts-sales.ru/parts/MAN/51081015212","Выпускной коллектор")</f>
        <v>Выпускной коллектор</v>
      </c>
      <c r="C4191" s="5" t="s">
        <v>17</v>
      </c>
      <c r="D4191" s="6">
        <v>195938.4</v>
      </c>
      <c r="E4191" s="6">
        <v>98179</v>
      </c>
      <c r="F4191" s="9">
        <v>0.5</v>
      </c>
      <c r="H4191" s="11"/>
      <c r="I4191" s="11"/>
      <c r="J4191" s="11"/>
    </row>
    <row r="4192" spans="1:10" ht="15.75" x14ac:dyDescent="0.3">
      <c r="A4192" s="12" t="str">
        <f>HYPERLINK("https://parts-sales.ru/parts/MAN/81432706183","81.43270-6183")</f>
        <v>81.43270-6183</v>
      </c>
      <c r="B4192" s="12" t="str">
        <f>HYPERLINK("https://parts-sales.ru/parts/MAN/81432706183","Рем ком напр подв моста Треуг. рычаг нез")</f>
        <v>Рем ком напр подв моста Треуг. рычаг нез</v>
      </c>
      <c r="C4192" s="3" t="s">
        <v>34</v>
      </c>
      <c r="D4192" s="4">
        <v>48648</v>
      </c>
      <c r="E4192" s="4">
        <v>16981</v>
      </c>
      <c r="F4192" s="8">
        <v>0.65</v>
      </c>
      <c r="H4192" s="11"/>
      <c r="I4192" s="11"/>
      <c r="J4192" s="11"/>
    </row>
    <row r="4193" spans="1:10" ht="15.75" x14ac:dyDescent="0.3">
      <c r="A4193" s="13" t="str">
        <f>HYPERLINK("https://parts-sales.ru/parts/MAN/81615200111","81.61520-0111")</f>
        <v>81.61520-0111</v>
      </c>
      <c r="B4193" s="13" t="str">
        <f>HYPERLINK("https://parts-sales.ru/parts/MAN/81615200111","передняя часть крыла")</f>
        <v>передняя часть крыла</v>
      </c>
      <c r="C4193" s="5" t="s">
        <v>15</v>
      </c>
      <c r="D4193" s="6">
        <v>138308.4</v>
      </c>
      <c r="E4193" s="6">
        <v>38169</v>
      </c>
      <c r="F4193" s="9">
        <v>0.72</v>
      </c>
      <c r="H4193" s="11"/>
      <c r="I4193" s="11"/>
      <c r="J4193" s="11"/>
    </row>
    <row r="4194" spans="1:10" ht="15.75" x14ac:dyDescent="0.3">
      <c r="A4194" s="12" t="str">
        <f>HYPERLINK("https://parts-sales.ru/parts/MAN/07989010015","07.98901-0015")</f>
        <v>07.98901-0015</v>
      </c>
      <c r="B4194" s="12" t="str">
        <f>HYPERLINK("https://parts-sales.ru/parts/MAN/07989010015","диагностический провод")</f>
        <v>диагностический провод</v>
      </c>
      <c r="C4194" s="3" t="s">
        <v>10</v>
      </c>
      <c r="D4194" s="4">
        <v>79200</v>
      </c>
      <c r="E4194" s="4">
        <v>38792</v>
      </c>
      <c r="F4194" s="8">
        <v>0.51</v>
      </c>
      <c r="H4194" s="11"/>
      <c r="I4194" s="11"/>
      <c r="J4194" s="11"/>
    </row>
    <row r="4195" spans="1:10" ht="15.75" x14ac:dyDescent="0.3">
      <c r="A4195" s="13" t="str">
        <f>HYPERLINK("https://parts-sales.ru/parts/MAN/06012835315","06.01283-5315")</f>
        <v>06.01283-5315</v>
      </c>
      <c r="B4195" s="13" t="str">
        <f>HYPERLINK("https://parts-sales.ru/parts/MAN/06012835315","Винт с 6-гранной головкой M12X25-8.8-MAN")</f>
        <v>Винт с 6-гранной головкой M12X25-8.8-MAN</v>
      </c>
      <c r="C4195" s="5" t="s">
        <v>6</v>
      </c>
      <c r="D4195" s="6">
        <v>840</v>
      </c>
      <c r="E4195" s="6">
        <v>286</v>
      </c>
      <c r="F4195" s="9">
        <v>0.66</v>
      </c>
      <c r="H4195" s="11"/>
      <c r="I4195" s="11"/>
      <c r="J4195" s="11"/>
    </row>
    <row r="4196" spans="1:10" ht="15.75" x14ac:dyDescent="0.3">
      <c r="A4196" s="12" t="str">
        <f>HYPERLINK("https://parts-sales.ru/parts/MAN/81963050262","81.96305-0262")</f>
        <v>81.96305-0262</v>
      </c>
      <c r="B4196" s="12" t="str">
        <f>HYPERLINK("https://parts-sales.ru/parts/MAN/81963050262","формовочный шланг")</f>
        <v>формовочный шланг</v>
      </c>
      <c r="C4196" s="3" t="s">
        <v>14</v>
      </c>
      <c r="D4196" s="4">
        <v>4572</v>
      </c>
      <c r="E4196" s="4">
        <v>2177</v>
      </c>
      <c r="F4196" s="8">
        <v>0.52</v>
      </c>
      <c r="H4196" s="11"/>
      <c r="I4196" s="11"/>
      <c r="J4196" s="11"/>
    </row>
    <row r="4197" spans="1:10" ht="15.75" x14ac:dyDescent="0.3">
      <c r="A4197" s="13" t="str">
        <f>HYPERLINK("https://parts-sales.ru/parts/MAN/81416102900","81.41610-2900")</f>
        <v>81.41610-2900</v>
      </c>
      <c r="B4197" s="13" t="str">
        <f>HYPERLINK("https://parts-sales.ru/parts/MAN/81416102900","накладка педали")</f>
        <v>накладка педали</v>
      </c>
      <c r="C4197" s="5" t="s">
        <v>32</v>
      </c>
      <c r="D4197" s="6">
        <v>3504</v>
      </c>
      <c r="E4197" s="6">
        <v>1166</v>
      </c>
      <c r="F4197" s="9">
        <v>0.67</v>
      </c>
      <c r="H4197" s="11"/>
      <c r="I4197" s="11"/>
      <c r="J4197" s="11"/>
    </row>
    <row r="4198" spans="1:10" ht="15.75" x14ac:dyDescent="0.3">
      <c r="A4198" s="12" t="str">
        <f>HYPERLINK("https://parts-sales.ru/parts/MAN/81981836201","81.98183-6201")</f>
        <v>81.98183-6201</v>
      </c>
      <c r="B4198" s="12" t="str">
        <f>HYPERLINK("https://parts-sales.ru/parts/MAN/81981836201","Штекер G-SN12-D10-CUZN/232")</f>
        <v>Штекер G-SN12-D10-CUZN/232</v>
      </c>
      <c r="C4198" s="3" t="s">
        <v>41</v>
      </c>
      <c r="D4198" s="4">
        <v>5448</v>
      </c>
      <c r="E4198" s="4">
        <v>2320</v>
      </c>
      <c r="F4198" s="8">
        <v>0.56999999999999995</v>
      </c>
      <c r="H4198" s="11"/>
      <c r="I4198" s="11"/>
      <c r="J4198" s="11"/>
    </row>
    <row r="4199" spans="1:10" ht="15.75" x14ac:dyDescent="0.3">
      <c r="A4199" s="13" t="str">
        <f>HYPERLINK("https://parts-sales.ru/parts/MAN/81619510057","81.61951-0057")</f>
        <v>81.61951-0057</v>
      </c>
      <c r="B4199" s="13" t="str">
        <f>HYPERLINK("https://parts-sales.ru/parts/MAN/81619510057","Уплотнение")</f>
        <v>Уплотнение</v>
      </c>
      <c r="C4199" s="5" t="s">
        <v>27</v>
      </c>
      <c r="D4199" s="6">
        <v>3890.3999999999996</v>
      </c>
      <c r="E4199" s="6">
        <v>1829</v>
      </c>
      <c r="F4199" s="9">
        <v>0.53</v>
      </c>
      <c r="H4199" s="11"/>
      <c r="I4199" s="11"/>
      <c r="J4199" s="11"/>
    </row>
    <row r="4200" spans="1:10" ht="15.75" x14ac:dyDescent="0.3">
      <c r="A4200" s="12" t="str">
        <f>HYPERLINK("https://parts-sales.ru/parts/MAN/81326556480","81.32655-6480")</f>
        <v>81.32655-6480</v>
      </c>
      <c r="B4200" s="12" t="str">
        <f>HYPERLINK("https://parts-sales.ru/parts/MAN/81326556480","Трос для выбора передач 3210")</f>
        <v>Трос для выбора передач 3210</v>
      </c>
      <c r="C4200" s="3" t="s">
        <v>29</v>
      </c>
      <c r="D4200" s="4">
        <v>44676</v>
      </c>
      <c r="E4200" s="4">
        <v>20982</v>
      </c>
      <c r="F4200" s="8">
        <v>0.53</v>
      </c>
      <c r="H4200" s="11"/>
      <c r="I4200" s="11"/>
      <c r="J4200" s="11"/>
    </row>
    <row r="4201" spans="1:10" ht="15.75" x14ac:dyDescent="0.3">
      <c r="A4201" s="13" t="str">
        <f>HYPERLINK("https://parts-sales.ru/parts/MAN/81324200342","81.32420-0342")</f>
        <v>81.32420-0342</v>
      </c>
      <c r="B4201" s="13" t="str">
        <f>HYPERLINK("https://parts-sales.ru/parts/MAN/81324200342","Синхронное кольцо")</f>
        <v>Синхронное кольцо</v>
      </c>
      <c r="C4201" s="5" t="s">
        <v>29</v>
      </c>
      <c r="D4201" s="6">
        <v>22842</v>
      </c>
      <c r="E4201" s="6">
        <v>9642</v>
      </c>
      <c r="F4201" s="9">
        <v>0.57999999999999996</v>
      </c>
      <c r="H4201" s="11"/>
      <c r="I4201" s="11"/>
      <c r="J4201" s="11"/>
    </row>
    <row r="4202" spans="1:10" ht="15.75" x14ac:dyDescent="0.3">
      <c r="A4202" s="12" t="str">
        <f>HYPERLINK("https://parts-sales.ru/parts/MAN/81432706184","81.43270-6184")</f>
        <v>81.43270-6184</v>
      </c>
      <c r="B4202" s="12" t="str">
        <f>HYPERLINK("https://parts-sales.ru/parts/MAN/81432706184","Рем ком напр подв моста Треуг. рычаг нез")</f>
        <v>Рем ком напр подв моста Треуг. рычаг нез</v>
      </c>
      <c r="C4202" s="3" t="s">
        <v>34</v>
      </c>
      <c r="D4202" s="4">
        <v>64824</v>
      </c>
      <c r="E4202" s="4">
        <v>20946</v>
      </c>
      <c r="F4202" s="8">
        <v>0.68</v>
      </c>
      <c r="H4202" s="11"/>
      <c r="I4202" s="11"/>
      <c r="J4202" s="11"/>
    </row>
    <row r="4203" spans="1:10" ht="15.75" x14ac:dyDescent="0.3">
      <c r="A4203" s="13" t="str">
        <f>HYPERLINK("https://parts-sales.ru/parts/MAN/07912010803","07.91201-0803")</f>
        <v>07.91201-0803</v>
      </c>
      <c r="B4203" s="13" t="str">
        <f>HYPERLINK("https://parts-sales.ru/parts/MAN/07912010803","контакт втулки 2,8-2,5BD-ST-CUSN-AU")</f>
        <v>контакт втулки 2,8-2,5BD-ST-CUSN-AU</v>
      </c>
      <c r="C4203" s="5" t="s">
        <v>8</v>
      </c>
      <c r="D4203" s="6">
        <v>984</v>
      </c>
      <c r="E4203" s="6">
        <v>451</v>
      </c>
      <c r="F4203" s="9">
        <v>0.54</v>
      </c>
      <c r="H4203" s="11"/>
      <c r="I4203" s="11"/>
      <c r="J4203" s="11"/>
    </row>
    <row r="4204" spans="1:10" ht="15.75" x14ac:dyDescent="0.3">
      <c r="A4204" s="12" t="str">
        <f>HYPERLINK("https://parts-sales.ru/parts/MAN/36904900051","36.90490-0051")</f>
        <v>36.90490-0051</v>
      </c>
      <c r="B4204" s="12" t="str">
        <f>HYPERLINK("https://parts-sales.ru/parts/MAN/36904900051","Винт с цилиндрической головкой M10X35")</f>
        <v>Винт с цилиндрической головкой M10X35</v>
      </c>
      <c r="C4204" s="3" t="s">
        <v>16</v>
      </c>
      <c r="D4204" s="4">
        <v>888</v>
      </c>
      <c r="E4204" s="4">
        <v>285</v>
      </c>
      <c r="F4204" s="8">
        <v>0.68</v>
      </c>
      <c r="H4204" s="11"/>
      <c r="I4204" s="11"/>
      <c r="J4204" s="11"/>
    </row>
    <row r="4205" spans="1:10" ht="15.75" x14ac:dyDescent="0.3">
      <c r="A4205" s="13" t="str">
        <f>HYPERLINK("https://parts-sales.ru/parts/MAN/81329030249","81.32903-0249")</f>
        <v>81.32903-0249</v>
      </c>
      <c r="B4205" s="13" t="str">
        <f>HYPERLINK("https://parts-sales.ru/parts/MAN/81329030249","Уплотнение")</f>
        <v>Уплотнение</v>
      </c>
      <c r="C4205" s="5" t="s">
        <v>29</v>
      </c>
      <c r="D4205" s="6">
        <v>402</v>
      </c>
      <c r="E4205" s="6">
        <v>165</v>
      </c>
      <c r="F4205" s="9">
        <v>0.59</v>
      </c>
      <c r="H4205" s="11"/>
      <c r="I4205" s="11"/>
      <c r="J4205" s="11"/>
    </row>
    <row r="4206" spans="1:10" ht="15.75" x14ac:dyDescent="0.3">
      <c r="A4206" s="12" t="str">
        <f>HYPERLINK("https://parts-sales.ru/parts/MAN/51987010111","51.98701-0111")</f>
        <v>51.98701-0111</v>
      </c>
      <c r="B4206" s="12" t="str">
        <f>HYPERLINK("https://parts-sales.ru/parts/MAN/51987010111","Уплотнительное кольцо")</f>
        <v>Уплотнительное кольцо</v>
      </c>
      <c r="C4206" s="3" t="s">
        <v>17</v>
      </c>
      <c r="D4206" s="4">
        <v>3444</v>
      </c>
      <c r="E4206" s="4">
        <v>1406</v>
      </c>
      <c r="F4206" s="8">
        <v>0.59</v>
      </c>
      <c r="H4206" s="11"/>
      <c r="I4206" s="11"/>
      <c r="J4206" s="11"/>
    </row>
    <row r="4207" spans="1:10" ht="15.75" x14ac:dyDescent="0.3">
      <c r="A4207" s="13" t="str">
        <f>HYPERLINK("https://parts-sales.ru/parts/MAN/81416105790","81.41610-5790")</f>
        <v>81.41610-5790</v>
      </c>
      <c r="B4207" s="13" t="str">
        <f>HYPERLINK("https://parts-sales.ru/parts/MAN/81416105790","Крепление, расположение Горизонт. плоско")</f>
        <v>Крепление, расположение Горизонт. плоско</v>
      </c>
      <c r="C4207" s="5" t="s">
        <v>32</v>
      </c>
      <c r="D4207" s="6">
        <v>27374.399999999998</v>
      </c>
      <c r="E4207" s="6">
        <v>12396</v>
      </c>
      <c r="F4207" s="9">
        <v>0.55000000000000004</v>
      </c>
      <c r="H4207" s="11"/>
      <c r="I4207" s="11"/>
      <c r="J4207" s="11"/>
    </row>
    <row r="4208" spans="1:10" ht="15.75" x14ac:dyDescent="0.3">
      <c r="A4208" s="12" t="str">
        <f>HYPERLINK("https://parts-sales.ru/parts/MAN/81432706125","81.43270-6125")</f>
        <v>81.43270-6125</v>
      </c>
      <c r="B4208" s="12" t="str">
        <f>HYPERLINK("https://parts-sales.ru/parts/MAN/81432706125","Рем ком напр подв моста Треуг. рычаг нез")</f>
        <v>Рем ком напр подв моста Треуг. рычаг нез</v>
      </c>
      <c r="C4208" s="3" t="s">
        <v>34</v>
      </c>
      <c r="D4208" s="4">
        <v>53292</v>
      </c>
      <c r="E4208" s="4">
        <v>21563</v>
      </c>
      <c r="F4208" s="8">
        <v>0.6</v>
      </c>
      <c r="H4208" s="11"/>
      <c r="I4208" s="11"/>
      <c r="J4208" s="11"/>
    </row>
    <row r="4209" spans="1:10" ht="15.75" x14ac:dyDescent="0.3">
      <c r="A4209" s="13" t="str">
        <f>HYPERLINK("https://parts-sales.ru/parts/MAN/51274210151","51.27421-0151")</f>
        <v>51.27421-0151</v>
      </c>
      <c r="B4209" s="13" t="str">
        <f>HYPERLINK("https://parts-sales.ru/parts/MAN/51274210151","Датчик температуры 106C+3K BEI 15K/MIN")</f>
        <v>Датчик температуры 106C+3K BEI 15K/MIN</v>
      </c>
      <c r="C4209" s="5" t="s">
        <v>17</v>
      </c>
      <c r="D4209" s="6">
        <v>41964</v>
      </c>
      <c r="E4209" s="6">
        <v>16880</v>
      </c>
      <c r="F4209" s="9">
        <v>0.6</v>
      </c>
      <c r="H4209" s="11"/>
      <c r="I4209" s="11"/>
      <c r="J4209" s="11"/>
    </row>
    <row r="4210" spans="1:10" ht="15.75" x14ac:dyDescent="0.3">
      <c r="A4210" s="12" t="str">
        <f>HYPERLINK("https://parts-sales.ru/parts/MAN/81416146000","81.41614-6000")</f>
        <v>81.41614-6000</v>
      </c>
      <c r="B4210" s="12" t="str">
        <f>HYPERLINK("https://parts-sales.ru/parts/MAN/81416146000","Опора")</f>
        <v>Опора</v>
      </c>
      <c r="C4210" s="3" t="s">
        <v>32</v>
      </c>
      <c r="D4210" s="4">
        <v>23400</v>
      </c>
      <c r="E4210" s="4">
        <v>7216</v>
      </c>
      <c r="F4210" s="8">
        <v>0.69</v>
      </c>
      <c r="H4210" s="11"/>
      <c r="I4210" s="11"/>
      <c r="J4210" s="11"/>
    </row>
    <row r="4211" spans="1:10" ht="15.75" x14ac:dyDescent="0.3">
      <c r="A4211" s="13" t="str">
        <f>HYPERLINK("https://parts-sales.ru/parts/MAN/81325620146","81.32562-0146")</f>
        <v>81.32562-0146</v>
      </c>
      <c r="B4211" s="13" t="str">
        <f>HYPERLINK("https://parts-sales.ru/parts/MAN/81325620146","Гильза")</f>
        <v>Гильза</v>
      </c>
      <c r="C4211" s="5" t="s">
        <v>29</v>
      </c>
      <c r="D4211" s="6">
        <v>1926</v>
      </c>
      <c r="E4211" s="6">
        <v>587</v>
      </c>
      <c r="F4211" s="9">
        <v>0.7</v>
      </c>
      <c r="H4211" s="11"/>
      <c r="I4211" s="11"/>
      <c r="J4211" s="11"/>
    </row>
    <row r="4212" spans="1:10" ht="15.75" x14ac:dyDescent="0.3">
      <c r="A4212" s="12" t="str">
        <f>HYPERLINK("https://parts-sales.ru/parts/MAN/51966010594","51.96601-0594")</f>
        <v>51.96601-0594</v>
      </c>
      <c r="B4212" s="12" t="str">
        <f>HYPERLINK("https://parts-sales.ru/parts/MAN/51966010594","Уплотнение Обратный маслопровод")</f>
        <v>Уплотнение Обратный маслопровод</v>
      </c>
      <c r="C4212" s="3" t="s">
        <v>17</v>
      </c>
      <c r="D4212" s="4">
        <v>792</v>
      </c>
      <c r="E4212" s="4">
        <v>239</v>
      </c>
      <c r="F4212" s="8">
        <v>0.7</v>
      </c>
      <c r="H4212" s="11"/>
      <c r="I4212" s="11"/>
      <c r="J4212" s="11"/>
    </row>
    <row r="4213" spans="1:10" ht="15.75" x14ac:dyDescent="0.3">
      <c r="A4213" s="13" t="str">
        <f>HYPERLINK("https://parts-sales.ru/parts/MAN/81432206285","81.43220-6285")</f>
        <v>81.43220-6285</v>
      </c>
      <c r="B4213" s="13" t="str">
        <f>HYPERLINK("https://parts-sales.ru/parts/MAN/81432206285","Рем ком напр подв моста 1Satz entspricht")</f>
        <v>Рем ком напр подв моста 1Satz entspricht</v>
      </c>
      <c r="C4213" s="5" t="s">
        <v>34</v>
      </c>
      <c r="D4213" s="6">
        <v>62664</v>
      </c>
      <c r="E4213" s="6">
        <v>14990</v>
      </c>
      <c r="F4213" s="9">
        <v>0.76</v>
      </c>
      <c r="H4213" s="11"/>
      <c r="I4213" s="11"/>
      <c r="J4213" s="11"/>
    </row>
    <row r="4214" spans="1:10" ht="15.75" x14ac:dyDescent="0.3">
      <c r="A4214" s="12" t="str">
        <f>HYPERLINK("https://parts-sales.ru/parts/MAN/81637316641","81.63731-6641")</f>
        <v>81.63731-6641</v>
      </c>
      <c r="B4214" s="12" t="str">
        <f>HYPERLINK("https://parts-sales.ru/parts/MAN/81637316641","Штанга зеркала")</f>
        <v>Штанга зеркала</v>
      </c>
      <c r="C4214" s="3" t="s">
        <v>15</v>
      </c>
      <c r="D4214" s="4">
        <v>45974.400000000001</v>
      </c>
      <c r="E4214" s="4">
        <v>19755</v>
      </c>
      <c r="F4214" s="8">
        <v>0.56999999999999995</v>
      </c>
      <c r="H4214" s="11"/>
      <c r="I4214" s="11"/>
      <c r="J4214" s="11"/>
    </row>
    <row r="4215" spans="1:10" ht="15.75" x14ac:dyDescent="0.3">
      <c r="A4215" s="13" t="str">
        <f>HYPERLINK("https://parts-sales.ru/parts/MAN/81615100921","81.61510-0921")</f>
        <v>81.61510-0921</v>
      </c>
      <c r="B4215" s="13" t="str">
        <f>HYPERLINK("https://parts-sales.ru/parts/MAN/81615100921","передняя часть крыла L/R 40/41")</f>
        <v>передняя часть крыла L/R 40/41</v>
      </c>
      <c r="C4215" s="5" t="s">
        <v>15</v>
      </c>
      <c r="D4215" s="6">
        <v>166604.4</v>
      </c>
      <c r="E4215" s="6">
        <v>49494</v>
      </c>
      <c r="F4215" s="9">
        <v>0.7</v>
      </c>
      <c r="H4215" s="11"/>
      <c r="I4215" s="11"/>
      <c r="J4215" s="11"/>
    </row>
    <row r="4216" spans="1:10" ht="15.75" x14ac:dyDescent="0.3">
      <c r="A4216" s="12" t="str">
        <f>HYPERLINK("https://parts-sales.ru/parts/MAN/51274210366","51.27421-0366")</f>
        <v>51.27421-0366</v>
      </c>
      <c r="B4216" s="12" t="str">
        <f>HYPERLINK("https://parts-sales.ru/parts/MAN/51274210366","Датчик давления 1600 BAR EMV")</f>
        <v>Датчик давления 1600 BAR EMV</v>
      </c>
      <c r="C4216" s="3" t="s">
        <v>17</v>
      </c>
      <c r="D4216" s="4">
        <v>35232</v>
      </c>
      <c r="E4216" s="4">
        <v>8485</v>
      </c>
      <c r="F4216" s="8">
        <v>0.76</v>
      </c>
      <c r="H4216" s="11"/>
      <c r="I4216" s="11"/>
      <c r="J4216" s="11"/>
    </row>
    <row r="4217" spans="1:10" ht="15.75" x14ac:dyDescent="0.3">
      <c r="A4217" s="13" t="str">
        <f>HYPERLINK("https://parts-sales.ru/parts/MAN/51025030874","51.02503-0874")</f>
        <v>51.02503-0874</v>
      </c>
      <c r="B4217" s="13" t="str">
        <f>HYPERLINK("https://parts-sales.ru/parts/MAN/51025030874","Поршн. кольцо (маслосъемное)")</f>
        <v>Поршн. кольцо (маслосъемное)</v>
      </c>
      <c r="C4217" s="5" t="s">
        <v>17</v>
      </c>
      <c r="D4217" s="6">
        <v>6333.5999999999995</v>
      </c>
      <c r="E4217" s="6">
        <v>2570</v>
      </c>
      <c r="F4217" s="9">
        <v>0.59</v>
      </c>
      <c r="H4217" s="11"/>
      <c r="I4217" s="11"/>
      <c r="J4217" s="11"/>
    </row>
    <row r="4218" spans="1:10" ht="15.75" x14ac:dyDescent="0.3">
      <c r="A4218" s="12" t="str">
        <f>HYPERLINK("https://parts-sales.ru/parts/MAN/81324020229","81.32402-0229")</f>
        <v>81.32402-0229</v>
      </c>
      <c r="B4218" s="12" t="str">
        <f>HYPERLINK("https://parts-sales.ru/parts/MAN/81324020229","Подвижная втулка")</f>
        <v>Подвижная втулка</v>
      </c>
      <c r="C4218" s="3" t="s">
        <v>29</v>
      </c>
      <c r="D4218" s="4">
        <v>42081.599999999999</v>
      </c>
      <c r="E4218" s="4">
        <v>11926</v>
      </c>
      <c r="F4218" s="8">
        <v>0.72</v>
      </c>
      <c r="H4218" s="11"/>
      <c r="I4218" s="11"/>
      <c r="J4218" s="11"/>
    </row>
    <row r="4219" spans="1:10" ht="15.75" x14ac:dyDescent="0.3">
      <c r="A4219" s="13" t="str">
        <f>HYPERLINK("https://parts-sales.ru/parts/MAN/81432706168","81.43270-6168")</f>
        <v>81.43270-6168</v>
      </c>
      <c r="B4219" s="13" t="str">
        <f>HYPERLINK("https://parts-sales.ru/parts/MAN/81432706168","Треуг. рычаг независ. подвески")</f>
        <v>Треуг. рычаг независ. подвески</v>
      </c>
      <c r="C4219" s="5" t="s">
        <v>34</v>
      </c>
      <c r="D4219" s="6">
        <v>79862.399999999994</v>
      </c>
      <c r="E4219" s="6">
        <v>32033</v>
      </c>
      <c r="F4219" s="9">
        <v>0.6</v>
      </c>
      <c r="H4219" s="11"/>
      <c r="I4219" s="11"/>
      <c r="J4219" s="11"/>
    </row>
    <row r="4220" spans="1:10" ht="15.75" x14ac:dyDescent="0.3">
      <c r="A4220" s="12" t="str">
        <f>HYPERLINK("https://parts-sales.ru/parts/MAN/81268036000","81.26803-6000")</f>
        <v>81.26803-6000</v>
      </c>
      <c r="B4220" s="12" t="str">
        <f>HYPERLINK("https://parts-sales.ru/parts/MAN/81268036000","Свеча накаливания")</f>
        <v>Свеча накаливания</v>
      </c>
      <c r="C4220" s="3" t="s">
        <v>27</v>
      </c>
      <c r="D4220" s="4">
        <v>53710.799999999996</v>
      </c>
      <c r="E4220" s="4">
        <v>14891</v>
      </c>
      <c r="F4220" s="8">
        <v>0.72</v>
      </c>
      <c r="H4220" s="11"/>
      <c r="I4220" s="11"/>
      <c r="J4220" s="11"/>
    </row>
    <row r="4221" spans="1:10" ht="15.75" x14ac:dyDescent="0.3">
      <c r="A4221" s="13" t="str">
        <f>HYPERLINK("https://parts-sales.ru/parts/MAN/81962100379","81.96210-0379")</f>
        <v>81.96210-0379</v>
      </c>
      <c r="B4221" s="13" t="str">
        <f>HYPERLINK("https://parts-sales.ru/parts/MAN/81962100379","Упорный буфер")</f>
        <v>Упорный буфер</v>
      </c>
      <c r="C4221" s="5" t="s">
        <v>14</v>
      </c>
      <c r="D4221" s="6">
        <v>6841.2</v>
      </c>
      <c r="E4221" s="6">
        <v>1892</v>
      </c>
      <c r="F4221" s="9">
        <v>0.72</v>
      </c>
      <c r="H4221" s="11"/>
      <c r="I4221" s="11"/>
      <c r="J4221" s="11"/>
    </row>
    <row r="4222" spans="1:10" ht="15.75" x14ac:dyDescent="0.3">
      <c r="A4222" s="12" t="str">
        <f>HYPERLINK("https://parts-sales.ru/parts/MAN/51259020123","51.25902-0123")</f>
        <v>51.25902-0123</v>
      </c>
      <c r="B4222" s="12" t="str">
        <f>HYPERLINK("https://parts-sales.ru/parts/MAN/51259020123","Клапан")</f>
        <v>Клапан</v>
      </c>
      <c r="C4222" s="3" t="s">
        <v>17</v>
      </c>
      <c r="D4222" s="4">
        <v>133275.6</v>
      </c>
      <c r="E4222" s="4">
        <v>36338</v>
      </c>
      <c r="F4222" s="8">
        <v>0.73</v>
      </c>
      <c r="H4222" s="11"/>
      <c r="I4222" s="11"/>
      <c r="J4222" s="11"/>
    </row>
    <row r="4223" spans="1:10" ht="15.75" x14ac:dyDescent="0.3">
      <c r="A4223" s="13" t="str">
        <f>HYPERLINK("https://parts-sales.ru/parts/MAN/06540990247","06.54099-0247")</f>
        <v>06.54099-0247</v>
      </c>
      <c r="B4223" s="13" t="str">
        <f>HYPERLINK("https://parts-sales.ru/parts/MAN/06540990247","Шлангопровод 1505 mm")</f>
        <v>Шлангопровод 1505 mm</v>
      </c>
      <c r="C4223" s="5" t="s">
        <v>6</v>
      </c>
      <c r="D4223" s="6">
        <v>16909.2</v>
      </c>
      <c r="E4223" s="6">
        <v>4661</v>
      </c>
      <c r="F4223" s="9">
        <v>0.72</v>
      </c>
      <c r="H4223" s="11"/>
      <c r="I4223" s="11"/>
      <c r="J4223" s="11"/>
    </row>
    <row r="4224" spans="1:10" ht="15.75" x14ac:dyDescent="0.3">
      <c r="A4224" s="12" t="str">
        <f>HYPERLINK("https://parts-sales.ru/parts/MAN/83252016623","83.25201-6623")</f>
        <v>83.25201-6623</v>
      </c>
      <c r="B4224" s="12" t="str">
        <f>HYPERLINK("https://parts-sales.ru/parts/MAN/83252016623","Внутренний светильник")</f>
        <v>Внутренний светильник</v>
      </c>
      <c r="C4224" s="3" t="s">
        <v>16</v>
      </c>
      <c r="D4224" s="4">
        <v>2421.6</v>
      </c>
      <c r="E4224" s="4">
        <v>654</v>
      </c>
      <c r="F4224" s="8">
        <v>0.73</v>
      </c>
      <c r="H4224" s="11"/>
      <c r="I4224" s="11"/>
      <c r="J4224" s="11"/>
    </row>
    <row r="4225" spans="1:10" ht="15.75" x14ac:dyDescent="0.3">
      <c r="A4225" s="13" t="str">
        <f>HYPERLINK("https://parts-sales.ru/parts/MAN/81329030309","81.32903-0309")</f>
        <v>81.32903-0309</v>
      </c>
      <c r="B4225" s="13" t="str">
        <f>HYPERLINK("https://parts-sales.ru/parts/MAN/81329030309","Уплотнение")</f>
        <v>Уплотнение</v>
      </c>
      <c r="C4225" s="5" t="s">
        <v>29</v>
      </c>
      <c r="D4225" s="6">
        <v>781.19999999999993</v>
      </c>
      <c r="E4225" s="6">
        <v>210</v>
      </c>
      <c r="F4225" s="9">
        <v>0.73</v>
      </c>
      <c r="H4225" s="11"/>
      <c r="I4225" s="11"/>
      <c r="J4225" s="11"/>
    </row>
    <row r="4226" spans="1:10" ht="15.75" x14ac:dyDescent="0.3">
      <c r="A4226" s="12" t="str">
        <f>HYPERLINK("https://parts-sales.ru/parts/MAN/81473130001","81.47313-0001")</f>
        <v>81.47313-0001</v>
      </c>
      <c r="B4226" s="12" t="str">
        <f>HYPERLINK("https://parts-sales.ru/parts/MAN/81473130001","Всасывающая проводка 22X1,5")</f>
        <v>Всасывающая проводка 22X1,5</v>
      </c>
      <c r="C4226" s="3" t="s">
        <v>37</v>
      </c>
      <c r="D4226" s="4">
        <v>7599.5999999999995</v>
      </c>
      <c r="E4226" s="4">
        <v>2041</v>
      </c>
      <c r="F4226" s="8">
        <v>0.73</v>
      </c>
      <c r="H4226" s="11"/>
      <c r="I4226" s="11"/>
      <c r="J4226" s="11"/>
    </row>
    <row r="4227" spans="1:10" ht="15.75" x14ac:dyDescent="0.3">
      <c r="A4227" s="13" t="str">
        <f>HYPERLINK("https://parts-sales.ru/parts/MAN/81255090207","81.25509-0207")</f>
        <v>81.25509-0207</v>
      </c>
      <c r="B4227" s="13" t="str">
        <f>HYPERLINK("https://parts-sales.ru/parts/MAN/81255090207","Перекл. передач на рул. кол. Вспомогател")</f>
        <v>Перекл. передач на рул. кол. Вспомогател</v>
      </c>
      <c r="C4227" s="5" t="s">
        <v>22</v>
      </c>
      <c r="D4227" s="6">
        <v>47778</v>
      </c>
      <c r="E4227" s="6">
        <v>12833</v>
      </c>
      <c r="F4227" s="9">
        <v>0.73</v>
      </c>
      <c r="H4227" s="11"/>
      <c r="I4227" s="11"/>
      <c r="J4227" s="11"/>
    </row>
    <row r="4228" spans="1:10" ht="15.75" x14ac:dyDescent="0.3">
      <c r="A4228" s="12" t="str">
        <f>HYPERLINK("https://parts-sales.ru/parts/MAN/06290290209","06.29029-0209")</f>
        <v>06.29029-0209</v>
      </c>
      <c r="B4228" s="12" t="str">
        <f>HYPERLINK("https://parts-sales.ru/parts/MAN/06290290209","Стопорное кольцо 55X2-MAN183-B1")</f>
        <v>Стопорное кольцо 55X2-MAN183-B1</v>
      </c>
      <c r="C4228" s="3" t="s">
        <v>6</v>
      </c>
      <c r="D4228" s="4">
        <v>1020</v>
      </c>
      <c r="E4228" s="4">
        <v>274</v>
      </c>
      <c r="F4228" s="8">
        <v>0.73</v>
      </c>
      <c r="H4228" s="11"/>
      <c r="I4228" s="11"/>
      <c r="J4228" s="11"/>
    </row>
    <row r="4229" spans="1:10" ht="15.75" x14ac:dyDescent="0.3">
      <c r="A4229" s="13" t="str">
        <f>HYPERLINK("https://parts-sales.ru/parts/MAN/81281636015","81.28163-6015")</f>
        <v>81.28163-6015</v>
      </c>
      <c r="B4229" s="13" t="str">
        <f>HYPERLINK("https://parts-sales.ru/parts/MAN/81281636015","Поворотно-нажимная кнопка")</f>
        <v>Поворотно-нажимная кнопка</v>
      </c>
      <c r="C4229" s="5" t="s">
        <v>12</v>
      </c>
      <c r="D4229" s="6">
        <v>54273.599999999999</v>
      </c>
      <c r="E4229" s="6">
        <v>14503</v>
      </c>
      <c r="F4229" s="9">
        <v>0.73</v>
      </c>
      <c r="H4229" s="11"/>
      <c r="I4229" s="11"/>
      <c r="J4229" s="11"/>
    </row>
    <row r="4230" spans="1:10" ht="15.75" x14ac:dyDescent="0.3">
      <c r="A4230" s="12" t="str">
        <f>HYPERLINK("https://parts-sales.ru/parts/MAN/81255256212","81.25525-6212")</f>
        <v>81.25525-6212</v>
      </c>
      <c r="B4230" s="12" t="str">
        <f>HYPERLINK("https://parts-sales.ru/parts/MAN/81255256212","Поворотный выключатель блокировка диффер")</f>
        <v>Поворотный выключатель блокировка диффер</v>
      </c>
      <c r="C4230" s="3" t="s">
        <v>22</v>
      </c>
      <c r="D4230" s="4">
        <v>16512</v>
      </c>
      <c r="E4230" s="4">
        <v>6296</v>
      </c>
      <c r="F4230" s="8">
        <v>0.62</v>
      </c>
      <c r="H4230" s="11"/>
      <c r="I4230" s="11"/>
      <c r="J4230" s="11"/>
    </row>
    <row r="4231" spans="1:10" ht="15.75" x14ac:dyDescent="0.3">
      <c r="A4231" s="13" t="str">
        <f>HYPERLINK("https://parts-sales.ru/parts/MAN/81254750282","81.25475-0282")</f>
        <v>81.25475-0282</v>
      </c>
      <c r="B4231" s="13" t="str">
        <f>HYPERLINK("https://parts-sales.ru/parts/MAN/81254750282","Корпус втулки 8-полюсный")</f>
        <v>Корпус втулки 8-полюсный</v>
      </c>
      <c r="C4231" s="5" t="s">
        <v>8</v>
      </c>
      <c r="D4231" s="6">
        <v>1690.8</v>
      </c>
      <c r="E4231" s="6">
        <v>450</v>
      </c>
      <c r="F4231" s="9">
        <v>0.73</v>
      </c>
      <c r="H4231" s="11"/>
      <c r="I4231" s="11"/>
      <c r="J4231" s="11"/>
    </row>
    <row r="4232" spans="1:10" ht="15.75" x14ac:dyDescent="0.3">
      <c r="A4232" s="12" t="str">
        <f>HYPERLINK("https://parts-sales.ru/parts/MAN/51125046003","51.12504-6003")</f>
        <v>51.12504-6003</v>
      </c>
      <c r="B4232" s="12" t="str">
        <f>HYPERLINK("https://parts-sales.ru/parts/MAN/51125046003","Крышка в большом исполнении")</f>
        <v>Крышка в большом исполнении</v>
      </c>
      <c r="C4232" s="3" t="s">
        <v>17</v>
      </c>
      <c r="D4232" s="4">
        <v>12321.6</v>
      </c>
      <c r="E4232" s="4">
        <v>3280</v>
      </c>
      <c r="F4232" s="8">
        <v>0.73</v>
      </c>
      <c r="H4232" s="11"/>
      <c r="I4232" s="11"/>
      <c r="J4232" s="11"/>
    </row>
    <row r="4233" spans="1:10" ht="15.75" x14ac:dyDescent="0.3">
      <c r="A4233" s="13" t="str">
        <f>HYPERLINK("https://parts-sales.ru/parts/MAN/81416100887","81.41610-0887")</f>
        <v>81.41610-0887</v>
      </c>
      <c r="B4233" s="13" t="str">
        <f>HYPERLINK("https://parts-sales.ru/parts/MAN/81416100887","Предохранительная сетка")</f>
        <v>Предохранительная сетка</v>
      </c>
      <c r="C4233" s="5" t="s">
        <v>32</v>
      </c>
      <c r="D4233" s="6">
        <v>25298.399999999998</v>
      </c>
      <c r="E4233" s="6">
        <v>6683</v>
      </c>
      <c r="F4233" s="9">
        <v>0.74</v>
      </c>
      <c r="H4233" s="11"/>
      <c r="I4233" s="11"/>
      <c r="J4233" s="11"/>
    </row>
    <row r="4234" spans="1:10" ht="15.75" x14ac:dyDescent="0.3">
      <c r="A4234" s="12" t="str">
        <f>HYPERLINK("https://parts-sales.ru/parts/MAN/81625302341","81.62530-2341")</f>
        <v>81.62530-2341</v>
      </c>
      <c r="B4234" s="12" t="str">
        <f>HYPERLINK("https://parts-sales.ru/parts/MAN/81625302341","резиновая распорка")</f>
        <v>резиновая распорка</v>
      </c>
      <c r="C4234" s="3" t="s">
        <v>15</v>
      </c>
      <c r="D4234" s="4">
        <v>1483.2</v>
      </c>
      <c r="E4234" s="4">
        <v>391</v>
      </c>
      <c r="F4234" s="8">
        <v>0.74</v>
      </c>
      <c r="H4234" s="11"/>
      <c r="I4234" s="11"/>
      <c r="J4234" s="11"/>
    </row>
    <row r="4235" spans="1:10" ht="15.75" x14ac:dyDescent="0.3">
      <c r="A4235" s="13" t="str">
        <f>HYPERLINK("https://parts-sales.ru/parts/MAN/81981816327","81.98181-6327")</f>
        <v>81.98181-6327</v>
      </c>
      <c r="B4235" s="13" t="str">
        <f>HYPERLINK("https://parts-sales.ru/parts/MAN/81981816327","w-штекерный разъем W-K12-DKO-L12/G135-CU")</f>
        <v>w-штекерный разъем W-K12-DKO-L12/G135-CU</v>
      </c>
      <c r="C4235" s="5" t="s">
        <v>41</v>
      </c>
      <c r="D4235" s="6">
        <v>6141.5999999999995</v>
      </c>
      <c r="E4235" s="6">
        <v>2307</v>
      </c>
      <c r="F4235" s="9">
        <v>0.62</v>
      </c>
      <c r="H4235" s="11"/>
      <c r="I4235" s="11"/>
      <c r="J4235" s="11"/>
    </row>
    <row r="4236" spans="1:10" ht="15.75" x14ac:dyDescent="0.3">
      <c r="A4236" s="12" t="str">
        <f>HYPERLINK("https://parts-sales.ru/parts/MAN/81960020468","81.96002-0468")</f>
        <v>81.96002-0468</v>
      </c>
      <c r="B4236" s="12" t="str">
        <f>HYPERLINK("https://parts-sales.ru/parts/MAN/81960020468","Заглушка")</f>
        <v>Заглушка</v>
      </c>
      <c r="C4236" s="3" t="s">
        <v>14</v>
      </c>
      <c r="D4236" s="4">
        <v>424.8</v>
      </c>
      <c r="E4236" s="4">
        <v>158</v>
      </c>
      <c r="F4236" s="8">
        <v>0.63</v>
      </c>
      <c r="H4236" s="11"/>
      <c r="I4236" s="11"/>
      <c r="J4236" s="11"/>
    </row>
    <row r="4237" spans="1:10" ht="15.75" x14ac:dyDescent="0.3">
      <c r="A4237" s="13" t="str">
        <f>HYPERLINK("https://parts-sales.ru/parts/MAN/81429025335","81.42902-5335")</f>
        <v>81.42902-5335</v>
      </c>
      <c r="B4237" s="13" t="str">
        <f>HYPERLINK("https://parts-sales.ru/parts/MAN/81429025335","поручень")</f>
        <v>поручень</v>
      </c>
      <c r="C4237" s="5" t="s">
        <v>33</v>
      </c>
      <c r="D4237" s="6">
        <v>40725.599999999999</v>
      </c>
      <c r="E4237" s="6">
        <v>15113</v>
      </c>
      <c r="F4237" s="9">
        <v>0.63</v>
      </c>
      <c r="H4237" s="11"/>
      <c r="I4237" s="11"/>
      <c r="J4237" s="11"/>
    </row>
    <row r="4238" spans="1:10" ht="15.75" x14ac:dyDescent="0.3">
      <c r="A4238" s="12" t="str">
        <f>HYPERLINK("https://parts-sales.ru/parts/MAN/06290100326","06.29010-0326")</f>
        <v>06.29010-0326</v>
      </c>
      <c r="B4238" s="12" t="str">
        <f>HYPERLINK("https://parts-sales.ru/parts/MAN/06290100326","Стопорное кольцо 45X1,50-ZNPHR5F")</f>
        <v>Стопорное кольцо 45X1,50-ZNPHR5F</v>
      </c>
      <c r="C4238" s="3" t="s">
        <v>6</v>
      </c>
      <c r="D4238" s="4">
        <v>612</v>
      </c>
      <c r="E4238" s="4">
        <v>227</v>
      </c>
      <c r="F4238" s="8">
        <v>0.63</v>
      </c>
      <c r="H4238" s="11"/>
      <c r="I4238" s="11"/>
      <c r="J4238" s="11"/>
    </row>
    <row r="4239" spans="1:10" ht="15.75" x14ac:dyDescent="0.3">
      <c r="A4239" s="13" t="str">
        <f>HYPERLINK("https://parts-sales.ru/parts/MAN/51974800422","51.97480-0422")</f>
        <v>51.97480-0422</v>
      </c>
      <c r="B4239" s="13" t="str">
        <f>HYPERLINK("https://parts-sales.ru/parts/MAN/51974800422","Накладка G20X5X61-10-41-9-ST37-2")</f>
        <v>Накладка G20X5X61-10-41-9-ST37-2</v>
      </c>
      <c r="C4239" s="5" t="s">
        <v>17</v>
      </c>
      <c r="D4239" s="6">
        <v>2374.7999999999997</v>
      </c>
      <c r="E4239" s="6">
        <v>614</v>
      </c>
      <c r="F4239" s="9">
        <v>0.74</v>
      </c>
      <c r="H4239" s="11"/>
      <c r="I4239" s="11"/>
      <c r="J4239" s="11"/>
    </row>
    <row r="4240" spans="1:10" ht="15.75" x14ac:dyDescent="0.3">
      <c r="A4240" s="12" t="str">
        <f>HYPERLINK("https://parts-sales.ru/parts/MAN/51057400093","51.05740-0093")</f>
        <v>51.05740-0093</v>
      </c>
      <c r="B4240" s="12" t="str">
        <f>HYPERLINK("https://parts-sales.ru/parts/MAN/51057400093","Держатель Откачивающий маслопровод")</f>
        <v>Держатель Откачивающий маслопровод</v>
      </c>
      <c r="C4240" s="3" t="s">
        <v>17</v>
      </c>
      <c r="D4240" s="4">
        <v>3603.6</v>
      </c>
      <c r="E4240" s="4">
        <v>924</v>
      </c>
      <c r="F4240" s="8">
        <v>0.74</v>
      </c>
      <c r="H4240" s="11"/>
      <c r="I4240" s="11"/>
      <c r="J4240" s="11"/>
    </row>
    <row r="4241" spans="1:10" ht="15.75" x14ac:dyDescent="0.3">
      <c r="A4241" s="13" t="str">
        <f>HYPERLINK("https://parts-sales.ru/parts/MAN/83732030054","83.73203-0054")</f>
        <v>83.73203-0054</v>
      </c>
      <c r="B4241" s="13" t="str">
        <f>HYPERLINK("https://parts-sales.ru/parts/MAN/83732030054","Держатель")</f>
        <v>Держатель</v>
      </c>
      <c r="C4241" s="5" t="s">
        <v>16</v>
      </c>
      <c r="D4241" s="6">
        <v>2174.4</v>
      </c>
      <c r="E4241" s="6">
        <v>553</v>
      </c>
      <c r="F4241" s="9">
        <v>0.75</v>
      </c>
      <c r="H4241" s="11"/>
      <c r="I4241" s="11"/>
      <c r="J4241" s="11"/>
    </row>
    <row r="4242" spans="1:10" ht="15.75" x14ac:dyDescent="0.3">
      <c r="A4242" s="12" t="str">
        <f>HYPERLINK("https://parts-sales.ru/parts/MAN/51069010165","51.06901-0165")</f>
        <v>51.06901-0165</v>
      </c>
      <c r="B4242" s="12" t="str">
        <f>HYPERLINK("https://parts-sales.ru/parts/MAN/51069010165","упл. насоса системы охлаждения без асбес")</f>
        <v>упл. насоса системы охлаждения без асбес</v>
      </c>
      <c r="C4242" s="3" t="s">
        <v>17</v>
      </c>
      <c r="D4242" s="4">
        <v>1543.2</v>
      </c>
      <c r="E4242" s="4">
        <v>388</v>
      </c>
      <c r="F4242" s="8">
        <v>0.75</v>
      </c>
      <c r="H4242" s="11"/>
      <c r="I4242" s="11"/>
      <c r="J4242" s="11"/>
    </row>
    <row r="4243" spans="1:10" ht="15.75" x14ac:dyDescent="0.3">
      <c r="A4243" s="13" t="str">
        <f>HYPERLINK("https://parts-sales.ru/parts/MAN/81416146001","81.41614-6001")</f>
        <v>81.41614-6001</v>
      </c>
      <c r="B4243" s="13" t="str">
        <f>HYPERLINK("https://parts-sales.ru/parts/MAN/81416146001","Опора")</f>
        <v>Опора</v>
      </c>
      <c r="C4243" s="5" t="s">
        <v>32</v>
      </c>
      <c r="D4243" s="6">
        <v>23391.599999999999</v>
      </c>
      <c r="E4243" s="6">
        <v>5854</v>
      </c>
      <c r="F4243" s="9">
        <v>0.75</v>
      </c>
      <c r="H4243" s="11"/>
      <c r="I4243" s="11"/>
      <c r="J4243" s="11"/>
    </row>
    <row r="4244" spans="1:10" ht="15.75" x14ac:dyDescent="0.3">
      <c r="A4244" s="12" t="str">
        <f>HYPERLINK("https://parts-sales.ru/parts/MAN/81504109867","81.50410-9867")</f>
        <v>81.50410-9867</v>
      </c>
      <c r="B4244" s="12" t="str">
        <f>HYPERLINK("https://parts-sales.ru/parts/MAN/81504109867","Торм. цил-р с пруж. энергоакк. длина тол")</f>
        <v>Торм. цил-р с пруж. энергоакк. длина тол</v>
      </c>
      <c r="C4244" s="3" t="s">
        <v>38</v>
      </c>
      <c r="D4244" s="4">
        <v>50547.6</v>
      </c>
      <c r="E4244" s="4">
        <v>12592</v>
      </c>
      <c r="F4244" s="8">
        <v>0.75</v>
      </c>
      <c r="H4244" s="11"/>
      <c r="I4244" s="11"/>
      <c r="J4244" s="11"/>
    </row>
    <row r="4245" spans="1:10" ht="15.75" x14ac:dyDescent="0.3">
      <c r="A4245" s="13" t="str">
        <f>HYPERLINK("https://parts-sales.ru/parts/MAN/06022590104","06.02259-0104")</f>
        <v>06.02259-0104</v>
      </c>
      <c r="B4245" s="13" t="str">
        <f>HYPERLINK("https://parts-sales.ru/parts/MAN/06022590104","Винт с плоской головкой M6X14-Z2-MK7X2-4")</f>
        <v>Винт с плоской головкой M6X14-Z2-MK7X2-4</v>
      </c>
      <c r="C4245" s="5" t="s">
        <v>6</v>
      </c>
      <c r="D4245" s="6">
        <v>42</v>
      </c>
      <c r="E4245" s="6">
        <v>15</v>
      </c>
      <c r="F4245" s="9">
        <v>0.64</v>
      </c>
      <c r="H4245" s="11"/>
      <c r="I4245" s="11"/>
      <c r="J4245" s="11"/>
    </row>
    <row r="4246" spans="1:10" ht="15.75" x14ac:dyDescent="0.3">
      <c r="A4246" s="12" t="str">
        <f>HYPERLINK("https://parts-sales.ru/parts/MAN/81254536712","81.25453-6712")</f>
        <v>81.25453-6712</v>
      </c>
      <c r="B4246" s="12" t="str">
        <f>HYPERLINK("https://parts-sales.ru/parts/MAN/81254536712","электропроводка 50X420-+/-")</f>
        <v>электропроводка 50X420-+/-</v>
      </c>
      <c r="C4246" s="3" t="s">
        <v>8</v>
      </c>
      <c r="D4246" s="4">
        <v>8468.4</v>
      </c>
      <c r="E4246" s="4">
        <v>2085</v>
      </c>
      <c r="F4246" s="8">
        <v>0.75</v>
      </c>
      <c r="H4246" s="11"/>
      <c r="I4246" s="11"/>
      <c r="J4246" s="11"/>
    </row>
    <row r="4247" spans="1:10" ht="15.75" x14ac:dyDescent="0.3">
      <c r="A4247" s="13" t="str">
        <f>HYPERLINK("https://parts-sales.ru/parts/MAN/81517155072","81.51715-5072")</f>
        <v>81.51715-5072</v>
      </c>
      <c r="B4247" s="13" t="str">
        <f>HYPERLINK("https://parts-sales.ru/parts/MAN/81517155072","Держатель")</f>
        <v>Держатель</v>
      </c>
      <c r="C4247" s="5" t="s">
        <v>38</v>
      </c>
      <c r="D4247" s="6">
        <v>13450.8</v>
      </c>
      <c r="E4247" s="6">
        <v>3296</v>
      </c>
      <c r="F4247" s="9">
        <v>0.75</v>
      </c>
      <c r="H4247" s="11"/>
      <c r="I4247" s="11"/>
      <c r="J4247" s="11"/>
    </row>
    <row r="4248" spans="1:10" ht="15.75" x14ac:dyDescent="0.3">
      <c r="A4248" s="12" t="str">
        <f>HYPERLINK("https://parts-sales.ru/parts/MAN/36429500003","36.42950-0003")</f>
        <v>36.42950-0003</v>
      </c>
      <c r="B4248" s="12" t="str">
        <f>HYPERLINK("https://parts-sales.ru/parts/MAN/36429500003","Катафот")</f>
        <v>Катафот</v>
      </c>
      <c r="C4248" s="3" t="s">
        <v>16</v>
      </c>
      <c r="D4248" s="4">
        <v>760.8</v>
      </c>
      <c r="E4248" s="4">
        <v>186</v>
      </c>
      <c r="F4248" s="8">
        <v>0.76</v>
      </c>
      <c r="H4248" s="11"/>
      <c r="I4248" s="11"/>
      <c r="J4248" s="11"/>
    </row>
    <row r="4249" spans="1:10" ht="15.75" x14ac:dyDescent="0.3">
      <c r="A4249" s="13" t="str">
        <f>HYPERLINK("https://parts-sales.ru/parts/MAN/81637316617","81.63731-6617")</f>
        <v>81.63731-6617</v>
      </c>
      <c r="B4249" s="13" t="str">
        <f>HYPERLINK("https://parts-sales.ru/parts/MAN/81637316617","Держатель зеркала слева")</f>
        <v>Держатель зеркала слева</v>
      </c>
      <c r="C4249" s="5" t="s">
        <v>15</v>
      </c>
      <c r="D4249" s="6">
        <v>35632.799999999996</v>
      </c>
      <c r="E4249" s="6">
        <v>8661</v>
      </c>
      <c r="F4249" s="9">
        <v>0.76</v>
      </c>
      <c r="H4249" s="11"/>
      <c r="I4249" s="11"/>
      <c r="J4249" s="11"/>
    </row>
    <row r="4250" spans="1:10" ht="15.75" x14ac:dyDescent="0.3">
      <c r="A4250" s="12" t="str">
        <f>HYPERLINK("https://parts-sales.ru/parts/MAN/51271207038","51.27120-7038")</f>
        <v>51.27120-7038</v>
      </c>
      <c r="B4250" s="12" t="str">
        <f>HYPERLINK("https://parts-sales.ru/parts/MAN/51271207038","Датчик частоты вращения")</f>
        <v>Датчик частоты вращения</v>
      </c>
      <c r="C4250" s="3" t="s">
        <v>17</v>
      </c>
      <c r="D4250" s="4">
        <v>13236</v>
      </c>
      <c r="E4250" s="4">
        <v>4134</v>
      </c>
      <c r="F4250" s="8">
        <v>0.69</v>
      </c>
      <c r="H4250" s="11"/>
      <c r="I4250" s="11"/>
      <c r="J4250" s="11"/>
    </row>
    <row r="4251" spans="1:10" ht="15.75" x14ac:dyDescent="0.3">
      <c r="A4251" s="13" t="str">
        <f>HYPERLINK("https://parts-sales.ru/parts/MAN/81971180131","81.97118-0131")</f>
        <v>81.97118-0131</v>
      </c>
      <c r="B4251" s="13" t="str">
        <f>HYPERLINK("https://parts-sales.ru/parts/MAN/81971180131","заготовка для ключа TG/TG-S/TG-X")</f>
        <v>заготовка для ключа TG/TG-S/TG-X</v>
      </c>
      <c r="C4251" s="5" t="s">
        <v>12</v>
      </c>
      <c r="D4251" s="6">
        <v>15189.599999999999</v>
      </c>
      <c r="E4251" s="6">
        <v>4691</v>
      </c>
      <c r="F4251" s="9">
        <v>0.69</v>
      </c>
      <c r="H4251" s="11"/>
      <c r="I4251" s="11"/>
      <c r="J4251" s="11"/>
    </row>
    <row r="4252" spans="1:10" ht="15.75" x14ac:dyDescent="0.3">
      <c r="A4252" s="12" t="str">
        <f>HYPERLINK("https://parts-sales.ru/parts/MAN/81629300148","81.62930-0148")</f>
        <v>81.62930-0148</v>
      </c>
      <c r="B4252" s="12" t="str">
        <f>HYPERLINK("https://parts-sales.ru/parts/MAN/81629300148","Кожух")</f>
        <v>Кожух</v>
      </c>
      <c r="C4252" s="3" t="s">
        <v>15</v>
      </c>
      <c r="D4252" s="4">
        <v>1304.3999999999999</v>
      </c>
      <c r="E4252" s="4">
        <v>446</v>
      </c>
      <c r="F4252" s="8">
        <v>0.66</v>
      </c>
      <c r="H4252" s="11"/>
      <c r="I4252" s="11"/>
      <c r="J4252" s="11"/>
    </row>
    <row r="4253" spans="1:10" ht="15.75" x14ac:dyDescent="0.3">
      <c r="A4253" s="13" t="str">
        <f>HYPERLINK("https://parts-sales.ru/parts/MAN/51965010581","51.96501-0581")</f>
        <v>51.96501-0581</v>
      </c>
      <c r="B4253" s="13" t="str">
        <f>HYPERLINK("https://parts-sales.ru/parts/MAN/51965010581","Круглое уплотнение 100X4-HNBR-60")</f>
        <v>Круглое уплотнение 100X4-HNBR-60</v>
      </c>
      <c r="C4253" s="5" t="s">
        <v>17</v>
      </c>
      <c r="D4253" s="6">
        <v>2611.1999999999998</v>
      </c>
      <c r="E4253" s="6">
        <v>877</v>
      </c>
      <c r="F4253" s="9">
        <v>0.66</v>
      </c>
      <c r="H4253" s="11"/>
      <c r="I4253" s="11"/>
      <c r="J4253" s="11"/>
    </row>
    <row r="4254" spans="1:10" ht="15.75" x14ac:dyDescent="0.3">
      <c r="A4254" s="12" t="str">
        <f>HYPERLINK("https://parts-sales.ru/parts/MAN/81254350963","81.25435-0963")</f>
        <v>81.25435-0963</v>
      </c>
      <c r="B4254" s="12" t="str">
        <f>HYPERLINK("https://parts-sales.ru/parts/MAN/81254350963","Корпус штекера A-2-2,8-/ST-SW")</f>
        <v>Корпус штекера A-2-2,8-/ST-SW</v>
      </c>
      <c r="C4254" s="3" t="s">
        <v>8</v>
      </c>
      <c r="D4254" s="4">
        <v>1230</v>
      </c>
      <c r="E4254" s="4">
        <v>369</v>
      </c>
      <c r="F4254" s="8">
        <v>0.7</v>
      </c>
      <c r="H4254" s="11"/>
      <c r="I4254" s="11"/>
      <c r="J4254" s="11"/>
    </row>
    <row r="4255" spans="1:10" ht="15.75" x14ac:dyDescent="0.3">
      <c r="A4255" s="13" t="str">
        <f>HYPERLINK("https://parts-sales.ru/parts/MAN/81612435371","81.61243-5371")</f>
        <v>81.61243-5371</v>
      </c>
      <c r="B4255" s="13" t="str">
        <f>HYPERLINK("https://parts-sales.ru/parts/MAN/81612435371","Держатель крыла")</f>
        <v>Держатель крыла</v>
      </c>
      <c r="C4255" s="5" t="s">
        <v>15</v>
      </c>
      <c r="D4255" s="6">
        <v>20119.2</v>
      </c>
      <c r="E4255" s="6">
        <v>4698</v>
      </c>
      <c r="F4255" s="9">
        <v>0.77</v>
      </c>
      <c r="H4255" s="11"/>
      <c r="I4255" s="11"/>
      <c r="J4255" s="11"/>
    </row>
    <row r="4256" spans="1:10" ht="15.75" x14ac:dyDescent="0.3">
      <c r="A4256" s="12" t="str">
        <f>HYPERLINK("https://parts-sales.ru/parts/MAN/81617010419","81.61701-0419")</f>
        <v>81.61701-0419</v>
      </c>
      <c r="B4256" s="12" t="str">
        <f>HYPERLINK("https://parts-sales.ru/parts/MAN/81617010419","Место хранения")</f>
        <v>Место хранения</v>
      </c>
      <c r="C4256" s="3" t="s">
        <v>15</v>
      </c>
      <c r="D4256" s="4">
        <v>2637.6</v>
      </c>
      <c r="E4256" s="4">
        <v>614</v>
      </c>
      <c r="F4256" s="8">
        <v>0.77</v>
      </c>
      <c r="H4256" s="11"/>
      <c r="I4256" s="11"/>
      <c r="J4256" s="11"/>
    </row>
    <row r="4257" spans="1:10" ht="15.75" x14ac:dyDescent="0.3">
      <c r="A4257" s="13" t="str">
        <f>HYPERLINK("https://parts-sales.ru/parts/MAN/81930300381","81.93030-0381")</f>
        <v>81.93030-0381</v>
      </c>
      <c r="B4257" s="13" t="str">
        <f>HYPERLINK("https://parts-sales.ru/parts/MAN/81930300381","Втулка")</f>
        <v>Втулка</v>
      </c>
      <c r="C4257" s="5" t="s">
        <v>12</v>
      </c>
      <c r="D4257" s="6">
        <v>1105.2</v>
      </c>
      <c r="E4257" s="6">
        <v>256</v>
      </c>
      <c r="F4257" s="9">
        <v>0.77</v>
      </c>
      <c r="H4257" s="11"/>
      <c r="I4257" s="11"/>
      <c r="J4257" s="11"/>
    </row>
    <row r="4258" spans="1:10" ht="15.75" x14ac:dyDescent="0.3">
      <c r="A4258" s="12" t="str">
        <f>HYPERLINK("https://parts-sales.ru/parts/MAN/81628114818","81.62811-4818")</f>
        <v>81.62811-4818</v>
      </c>
      <c r="B4258" s="12" t="str">
        <f>HYPERLINK("https://parts-sales.ru/parts/MAN/81628114818","Пол кузова L/R15")</f>
        <v>Пол кузова L/R15</v>
      </c>
      <c r="C4258" s="3" t="s">
        <v>15</v>
      </c>
      <c r="D4258" s="4">
        <v>183580.79999999999</v>
      </c>
      <c r="E4258" s="4">
        <v>42458</v>
      </c>
      <c r="F4258" s="8">
        <v>0.77</v>
      </c>
      <c r="H4258" s="11"/>
      <c r="I4258" s="11"/>
      <c r="J4258" s="11"/>
    </row>
    <row r="4259" spans="1:10" ht="15.75" x14ac:dyDescent="0.3">
      <c r="A4259" s="13" t="str">
        <f>HYPERLINK("https://parts-sales.ru/parts/MAN/85962100038","85.96210-0038")</f>
        <v>85.96210-0038</v>
      </c>
      <c r="B4259" s="13" t="str">
        <f>HYPERLINK("https://parts-sales.ru/parts/MAN/85962100038","Упорный буфер")</f>
        <v>Упорный буфер</v>
      </c>
      <c r="C4259" s="5" t="s">
        <v>12</v>
      </c>
      <c r="D4259" s="6">
        <v>5602.8</v>
      </c>
      <c r="E4259" s="6">
        <v>1850</v>
      </c>
      <c r="F4259" s="9">
        <v>0.67</v>
      </c>
      <c r="H4259" s="11"/>
      <c r="I4259" s="11"/>
      <c r="J4259" s="11"/>
    </row>
    <row r="4260" spans="1:10" ht="15.75" x14ac:dyDescent="0.3">
      <c r="A4260" s="12" t="str">
        <f>HYPERLINK("https://parts-sales.ru/parts/MAN/06290190251","06.29019-0251")</f>
        <v>06.29019-0251</v>
      </c>
      <c r="B4260" s="12" t="str">
        <f>HYPERLINK("https://parts-sales.ru/parts/MAN/06290190251","Стопорное кольцо 80X3,35")</f>
        <v>Стопорное кольцо 80X3,35</v>
      </c>
      <c r="C4260" s="3" t="s">
        <v>6</v>
      </c>
      <c r="D4260" s="4">
        <v>2389.1999999999998</v>
      </c>
      <c r="E4260" s="4">
        <v>552</v>
      </c>
      <c r="F4260" s="8">
        <v>0.77</v>
      </c>
      <c r="H4260" s="11"/>
      <c r="I4260" s="11"/>
      <c r="J4260" s="11"/>
    </row>
    <row r="4261" spans="1:10" ht="15.75" x14ac:dyDescent="0.3">
      <c r="A4261" s="13" t="str">
        <f>HYPERLINK("https://parts-sales.ru/parts/MAN/51903100255","51.90310-0255")</f>
        <v>51.90310-0255</v>
      </c>
      <c r="B4261" s="13" t="str">
        <f>HYPERLINK("https://parts-sales.ru/parts/MAN/51903100255","Резьбовая заглушка M24X1,5X30,7-SW24")</f>
        <v>Резьбовая заглушка M24X1,5X30,7-SW24</v>
      </c>
      <c r="C4261" s="5" t="s">
        <v>17</v>
      </c>
      <c r="D4261" s="6">
        <v>9865.1999999999989</v>
      </c>
      <c r="E4261" s="6">
        <v>2279</v>
      </c>
      <c r="F4261" s="9">
        <v>0.77</v>
      </c>
      <c r="H4261" s="11"/>
      <c r="I4261" s="11"/>
      <c r="J4261" s="11"/>
    </row>
    <row r="4262" spans="1:10" ht="15.75" x14ac:dyDescent="0.3">
      <c r="A4262" s="12" t="str">
        <f>HYPERLINK("https://parts-sales.ru/parts/MAN/81637350028","81.63735-0028")</f>
        <v>81.63735-0028</v>
      </c>
      <c r="B4262" s="12" t="str">
        <f>HYPERLINK("https://parts-sales.ru/parts/MAN/81637350028","Держатель")</f>
        <v>Держатель</v>
      </c>
      <c r="C4262" s="3" t="s">
        <v>15</v>
      </c>
      <c r="D4262" s="4">
        <v>4173.5999999999995</v>
      </c>
      <c r="E4262" s="4">
        <v>1373</v>
      </c>
      <c r="F4262" s="8">
        <v>0.67</v>
      </c>
      <c r="H4262" s="11"/>
      <c r="I4262" s="11"/>
      <c r="J4262" s="11"/>
    </row>
    <row r="4263" spans="1:10" ht="15.75" x14ac:dyDescent="0.3">
      <c r="A4263" s="13" t="str">
        <f>HYPERLINK("https://parts-sales.ru/parts/MAN/51058055725","51.05805-5725")</f>
        <v>51.05805-5725</v>
      </c>
      <c r="B4263" s="13" t="str">
        <f>HYPERLINK("https://parts-sales.ru/parts/MAN/51058055725","Масломерный щуп")</f>
        <v>Масломерный щуп</v>
      </c>
      <c r="C4263" s="5" t="s">
        <v>17</v>
      </c>
      <c r="D4263" s="6">
        <v>2522.4</v>
      </c>
      <c r="E4263" s="6">
        <v>580</v>
      </c>
      <c r="F4263" s="9">
        <v>0.77</v>
      </c>
      <c r="H4263" s="11"/>
      <c r="I4263" s="11"/>
      <c r="J4263" s="11"/>
    </row>
    <row r="4264" spans="1:10" ht="15.75" x14ac:dyDescent="0.3">
      <c r="A4264" s="12" t="str">
        <f>HYPERLINK("https://parts-sales.ru/parts/MAN/81964100714","81.96410-0714")</f>
        <v>81.96410-0714</v>
      </c>
      <c r="B4264" s="12" t="str">
        <f>HYPERLINK("https://parts-sales.ru/parts/MAN/81964100714","Колпачок")</f>
        <v>Колпачок</v>
      </c>
      <c r="C4264" s="3" t="s">
        <v>14</v>
      </c>
      <c r="D4264" s="4">
        <v>344.4</v>
      </c>
      <c r="E4264" s="4">
        <v>79</v>
      </c>
      <c r="F4264" s="8">
        <v>0.77</v>
      </c>
      <c r="H4264" s="11"/>
      <c r="I4264" s="11"/>
      <c r="J4264" s="11"/>
    </row>
    <row r="4265" spans="1:10" ht="15.75" x14ac:dyDescent="0.3">
      <c r="A4265" s="13" t="str">
        <f>HYPERLINK("https://parts-sales.ru/parts/MAN/51981100235","51.98110-0235")</f>
        <v>51.98110-0235</v>
      </c>
      <c r="B4265" s="13" t="str">
        <f>HYPERLINK("https://parts-sales.ru/parts/MAN/51981100235","Поворотное резьб. соединение L10 M14X1,5")</f>
        <v>Поворотное резьб. соединение L10 M14X1,5</v>
      </c>
      <c r="C4265" s="5" t="s">
        <v>17</v>
      </c>
      <c r="D4265" s="6">
        <v>9705.6</v>
      </c>
      <c r="E4265" s="6">
        <v>2219</v>
      </c>
      <c r="F4265" s="9">
        <v>0.77</v>
      </c>
      <c r="H4265" s="11"/>
      <c r="I4265" s="11"/>
      <c r="J4265" s="11"/>
    </row>
    <row r="4266" spans="1:10" ht="15.75" x14ac:dyDescent="0.3">
      <c r="A4266" s="12" t="str">
        <f>HYPERLINK("https://parts-sales.ru/parts/MAN/06563333247","06.56333-3247")</f>
        <v>06.56333-3247</v>
      </c>
      <c r="B4266" s="12" t="str">
        <f>HYPERLINK("https://parts-sales.ru/parts/MAN/06563333247","Круглое уплотнение 20X3B-FKM1-70-GN")</f>
        <v>Круглое уплотнение 20X3B-FKM1-70-GN</v>
      </c>
      <c r="C4266" s="3" t="s">
        <v>6</v>
      </c>
      <c r="D4266" s="4">
        <v>1767.6</v>
      </c>
      <c r="E4266" s="4">
        <v>519</v>
      </c>
      <c r="F4266" s="8">
        <v>0.71</v>
      </c>
      <c r="H4266" s="11"/>
      <c r="I4266" s="11"/>
      <c r="J4266" s="11"/>
    </row>
    <row r="4267" spans="1:10" ht="15.75" x14ac:dyDescent="0.3">
      <c r="A4267" s="13" t="str">
        <f>HYPERLINK("https://parts-sales.ru/parts/MAN/81934020115","81.93402-0115")</f>
        <v>81.93402-0115</v>
      </c>
      <c r="B4267" s="13" t="str">
        <f>HYPERLINK("https://parts-sales.ru/parts/MAN/81934020115","Сепаратор игольч. подшипника 92X100X63-Z")</f>
        <v>Сепаратор игольч. подшипника 92X100X63-Z</v>
      </c>
      <c r="C4267" s="5" t="s">
        <v>7</v>
      </c>
      <c r="D4267" s="6">
        <v>12577.199999999999</v>
      </c>
      <c r="E4267" s="6">
        <v>2861</v>
      </c>
      <c r="F4267" s="9">
        <v>0.77</v>
      </c>
      <c r="H4267" s="11"/>
      <c r="I4267" s="11"/>
      <c r="J4267" s="11"/>
    </row>
    <row r="4268" spans="1:10" ht="15.75" x14ac:dyDescent="0.3">
      <c r="A4268" s="12" t="str">
        <f>HYPERLINK("https://parts-sales.ru/parts/MAN/81904900848","81.90490-0848")</f>
        <v>81.90490-0848</v>
      </c>
      <c r="B4268" s="12" t="str">
        <f>HYPERLINK("https://parts-sales.ru/parts/MAN/81904900848","Винт")</f>
        <v>Винт</v>
      </c>
      <c r="C4268" s="3" t="s">
        <v>6</v>
      </c>
      <c r="D4268" s="4">
        <v>510</v>
      </c>
      <c r="E4268" s="4">
        <v>116</v>
      </c>
      <c r="F4268" s="8">
        <v>0.77</v>
      </c>
      <c r="H4268" s="11"/>
      <c r="I4268" s="11"/>
      <c r="J4268" s="11"/>
    </row>
    <row r="4269" spans="1:10" ht="15.75" x14ac:dyDescent="0.3">
      <c r="A4269" s="13" t="str">
        <f>HYPERLINK("https://parts-sales.ru/parts/MAN/81626410118","81.62641-0118")</f>
        <v>81.62641-0118</v>
      </c>
      <c r="B4269" s="13" t="str">
        <f>HYPERLINK("https://parts-sales.ru/parts/MAN/81626410118","Ручка F99 L/R10-41")</f>
        <v>Ручка F99 L/R10-41</v>
      </c>
      <c r="C4269" s="5" t="s">
        <v>15</v>
      </c>
      <c r="D4269" s="6">
        <v>3186</v>
      </c>
      <c r="E4269" s="6">
        <v>1031</v>
      </c>
      <c r="F4269" s="9">
        <v>0.68</v>
      </c>
      <c r="H4269" s="11"/>
      <c r="I4269" s="11"/>
      <c r="J4269" s="11"/>
    </row>
    <row r="4270" spans="1:10" ht="15.75" x14ac:dyDescent="0.3">
      <c r="A4270" s="12" t="str">
        <f>HYPERLINK("https://parts-sales.ru/parts/MAN/81156400020","81.15640-0020")</f>
        <v>81.15640-0020</v>
      </c>
      <c r="B4270" s="12" t="str">
        <f>HYPERLINK("https://parts-sales.ru/parts/MAN/81156400020","Упорный угольник")</f>
        <v>Упорный угольник</v>
      </c>
      <c r="C4270" s="3" t="s">
        <v>21</v>
      </c>
      <c r="D4270" s="4">
        <v>13368</v>
      </c>
      <c r="E4270" s="4">
        <v>3017</v>
      </c>
      <c r="F4270" s="8">
        <v>0.77</v>
      </c>
      <c r="H4270" s="11"/>
      <c r="I4270" s="11"/>
      <c r="J4270" s="11"/>
    </row>
    <row r="4271" spans="1:10" ht="15.75" x14ac:dyDescent="0.3">
      <c r="A4271" s="13" t="str">
        <f>HYPERLINK("https://parts-sales.ru/parts/MAN/81467116915","81.46711-6915")</f>
        <v>81.46711-6915</v>
      </c>
      <c r="B4271" s="13" t="str">
        <f>HYPERLINK("https://parts-sales.ru/parts/MAN/81467116915","Поперечная рулевая тяга LM")</f>
        <v>Поперечная рулевая тяга LM</v>
      </c>
      <c r="C4271" s="5" t="s">
        <v>37</v>
      </c>
      <c r="D4271" s="6">
        <v>49670.400000000001</v>
      </c>
      <c r="E4271" s="6">
        <v>15995</v>
      </c>
      <c r="F4271" s="9">
        <v>0.68</v>
      </c>
      <c r="H4271" s="11"/>
      <c r="I4271" s="11"/>
      <c r="J4271" s="11"/>
    </row>
    <row r="4272" spans="1:10" ht="15.75" x14ac:dyDescent="0.3">
      <c r="A4272" s="12" t="str">
        <f>HYPERLINK("https://parts-sales.ru/parts/MAN/81626100018","81.62610-0018")</f>
        <v>81.62610-0018</v>
      </c>
      <c r="B4272" s="12" t="str">
        <f>HYPERLINK("https://parts-sales.ru/parts/MAN/81626100018","Удлинение дверей справа")</f>
        <v>Удлинение дверей справа</v>
      </c>
      <c r="C4272" s="3" t="s">
        <v>15</v>
      </c>
      <c r="D4272" s="4">
        <v>89042.4</v>
      </c>
      <c r="E4272" s="4">
        <v>28614</v>
      </c>
      <c r="F4272" s="8">
        <v>0.68</v>
      </c>
      <c r="H4272" s="11"/>
      <c r="I4272" s="11"/>
      <c r="J4272" s="11"/>
    </row>
    <row r="4273" spans="1:10" ht="15.75" x14ac:dyDescent="0.3">
      <c r="A4273" s="13" t="str">
        <f>HYPERLINK("https://parts-sales.ru/parts/MAN/81254605536","81.25460-5536")</f>
        <v>81.25460-5536</v>
      </c>
      <c r="B4273" s="13" t="str">
        <f>HYPERLINK("https://parts-sales.ru/parts/MAN/81254605536","Кабельная линия L=1750")</f>
        <v>Кабельная линия L=1750</v>
      </c>
      <c r="C4273" s="5" t="s">
        <v>8</v>
      </c>
      <c r="D4273" s="6">
        <v>21721.200000000001</v>
      </c>
      <c r="E4273" s="6">
        <v>4863</v>
      </c>
      <c r="F4273" s="9">
        <v>0.78</v>
      </c>
      <c r="H4273" s="11"/>
      <c r="I4273" s="11"/>
      <c r="J4273" s="11"/>
    </row>
    <row r="4274" spans="1:10" ht="15.75" x14ac:dyDescent="0.3">
      <c r="A4274" s="12" t="str">
        <f>HYPERLINK("https://parts-sales.ru/parts/MAN/81907700062","81.90770-0062")</f>
        <v>81.90770-0062</v>
      </c>
      <c r="B4274" s="12" t="str">
        <f>HYPERLINK("https://parts-sales.ru/parts/MAN/81907700062","Установочная шайба 65X80X4,1-C60")</f>
        <v>Установочная шайба 65X80X4,1-C60</v>
      </c>
      <c r="C4274" s="3" t="s">
        <v>6</v>
      </c>
      <c r="D4274" s="4">
        <v>4206</v>
      </c>
      <c r="E4274" s="4">
        <v>940</v>
      </c>
      <c r="F4274" s="8">
        <v>0.78</v>
      </c>
      <c r="H4274" s="11"/>
      <c r="I4274" s="11"/>
      <c r="J4274" s="11"/>
    </row>
    <row r="4275" spans="1:10" ht="15.75" x14ac:dyDescent="0.3">
      <c r="A4275" s="13" t="str">
        <f>HYPERLINK("https://parts-sales.ru/parts/MAN/51025030831","51.02503-0831")</f>
        <v>51.02503-0831</v>
      </c>
      <c r="B4275" s="13" t="str">
        <f>HYPERLINK("https://parts-sales.ru/parts/MAN/51025030831","Поршн. кольцо (маслосъемное)")</f>
        <v>Поршн. кольцо (маслосъемное)</v>
      </c>
      <c r="C4275" s="5" t="s">
        <v>17</v>
      </c>
      <c r="D4275" s="6">
        <v>5503.2</v>
      </c>
      <c r="E4275" s="6">
        <v>1216</v>
      </c>
      <c r="F4275" s="9">
        <v>0.78</v>
      </c>
      <c r="H4275" s="11"/>
      <c r="I4275" s="11"/>
      <c r="J4275" s="11"/>
    </row>
    <row r="4276" spans="1:10" ht="15.75" x14ac:dyDescent="0.3">
      <c r="A4276" s="12" t="str">
        <f>HYPERLINK("https://parts-sales.ru/parts/MAN/81255030378","81.25503-0378")</f>
        <v>81.25503-0378</v>
      </c>
      <c r="B4276" s="12" t="str">
        <f>HYPERLINK("https://parts-sales.ru/parts/MAN/81255030378","Клавишный ключ Обогрев зеркала")</f>
        <v>Клавишный ключ Обогрев зеркала</v>
      </c>
      <c r="C4276" s="3" t="s">
        <v>22</v>
      </c>
      <c r="D4276" s="4">
        <v>11642.4</v>
      </c>
      <c r="E4276" s="4">
        <v>2571</v>
      </c>
      <c r="F4276" s="8">
        <v>0.78</v>
      </c>
      <c r="H4276" s="11"/>
      <c r="I4276" s="11"/>
      <c r="J4276" s="11"/>
    </row>
    <row r="4277" spans="1:10" ht="15.75" x14ac:dyDescent="0.3">
      <c r="A4277" s="13" t="str">
        <f>HYPERLINK("https://parts-sales.ru/parts/MAN/06671220819","06.67122-0819")</f>
        <v>06.67122-0819</v>
      </c>
      <c r="B4277" s="13" t="str">
        <f>HYPERLINK("https://parts-sales.ru/parts/MAN/06671220819","Хомутик для шланга A45-65X13")</f>
        <v>Хомутик для шланга A45-65X13</v>
      </c>
      <c r="C4277" s="5" t="s">
        <v>6</v>
      </c>
      <c r="D4277" s="6">
        <v>1201.2</v>
      </c>
      <c r="E4277" s="6">
        <v>378</v>
      </c>
      <c r="F4277" s="9">
        <v>0.69</v>
      </c>
      <c r="H4277" s="11"/>
      <c r="I4277" s="11"/>
      <c r="J4277" s="11"/>
    </row>
    <row r="4278" spans="1:10" ht="15.75" x14ac:dyDescent="0.3">
      <c r="A4278" s="12" t="str">
        <f>HYPERLINK("https://parts-sales.ru/parts/MAN/51081020700","51.08102-0700")</f>
        <v>51.08102-0700</v>
      </c>
      <c r="B4278" s="12" t="str">
        <f>HYPERLINK("https://parts-sales.ru/parts/MAN/51081020700","Промежуточный лист")</f>
        <v>Промежуточный лист</v>
      </c>
      <c r="C4278" s="3" t="s">
        <v>17</v>
      </c>
      <c r="D4278" s="4">
        <v>1176</v>
      </c>
      <c r="E4278" s="4">
        <v>256</v>
      </c>
      <c r="F4278" s="8">
        <v>0.78</v>
      </c>
      <c r="H4278" s="11"/>
      <c r="I4278" s="11"/>
      <c r="J4278" s="11"/>
    </row>
    <row r="4279" spans="1:10" ht="15.75" x14ac:dyDescent="0.3">
      <c r="A4279" s="13" t="str">
        <f>HYPERLINK("https://parts-sales.ru/parts/MAN/81254350914","81.25435-0914")</f>
        <v>81.25435-0914</v>
      </c>
      <c r="B4279" s="13" t="str">
        <f>HYPERLINK("https://parts-sales.ru/parts/MAN/81254350914","Корпус штекера 8-5,8-CODE1-NF")</f>
        <v>Корпус штекера 8-5,8-CODE1-NF</v>
      </c>
      <c r="C4279" s="5" t="s">
        <v>8</v>
      </c>
      <c r="D4279" s="6">
        <v>946.8</v>
      </c>
      <c r="E4279" s="6">
        <v>203</v>
      </c>
      <c r="F4279" s="9">
        <v>0.79</v>
      </c>
      <c r="H4279" s="11"/>
      <c r="I4279" s="11"/>
      <c r="J4279" s="11"/>
    </row>
    <row r="4280" spans="1:10" ht="15.75" x14ac:dyDescent="0.3">
      <c r="A4280" s="12" t="str">
        <f>HYPERLINK("https://parts-sales.ru/parts/MAN/51067007008","51.06700-7008")</f>
        <v>51.06700-7008</v>
      </c>
      <c r="B4280" s="12" t="str">
        <f>HYPERLINK("https://parts-sales.ru/parts/MAN/51067007008","Подогреватель охлажд. жидкости")</f>
        <v>Подогреватель охлажд. жидкости</v>
      </c>
      <c r="C4280" s="3" t="s">
        <v>17</v>
      </c>
      <c r="D4280" s="4">
        <v>38595.599999999999</v>
      </c>
      <c r="E4280" s="4">
        <v>8262</v>
      </c>
      <c r="F4280" s="8">
        <v>0.79</v>
      </c>
      <c r="H4280" s="11"/>
      <c r="I4280" s="11"/>
      <c r="J4280" s="11"/>
    </row>
    <row r="4281" spans="1:10" ht="15.75" x14ac:dyDescent="0.3">
      <c r="A4281" s="13" t="str">
        <f>HYPERLINK("https://parts-sales.ru/parts/MAN/81963050166","81.96305-0166")</f>
        <v>81.96305-0166</v>
      </c>
      <c r="B4281" s="13" t="str">
        <f>HYPERLINK("https://parts-sales.ru/parts/MAN/81963050166","формовочный шланг")</f>
        <v>формовочный шланг</v>
      </c>
      <c r="C4281" s="5" t="s">
        <v>14</v>
      </c>
      <c r="D4281" s="6">
        <v>9885.6</v>
      </c>
      <c r="E4281" s="6">
        <v>3022</v>
      </c>
      <c r="F4281" s="9">
        <v>0.69</v>
      </c>
      <c r="H4281" s="11"/>
      <c r="I4281" s="11"/>
      <c r="J4281" s="11"/>
    </row>
    <row r="4282" spans="1:10" ht="15.75" x14ac:dyDescent="0.3">
      <c r="A4282" s="12" t="str">
        <f>HYPERLINK("https://parts-sales.ru/parts/MAN/07912120110","07.91212-0110")</f>
        <v>07.91212-0110</v>
      </c>
      <c r="B4282" s="12" t="str">
        <f>HYPERLINK("https://parts-sales.ru/parts/MAN/07912120110","Кабельный наконечник 6-2,5")</f>
        <v>Кабельный наконечник 6-2,5</v>
      </c>
      <c r="C4282" s="3" t="s">
        <v>8</v>
      </c>
      <c r="D4282" s="4">
        <v>500.4</v>
      </c>
      <c r="E4282" s="4">
        <v>107</v>
      </c>
      <c r="F4282" s="8">
        <v>0.79</v>
      </c>
      <c r="H4282" s="11"/>
      <c r="I4282" s="11"/>
      <c r="J4282" s="11"/>
    </row>
    <row r="4283" spans="1:10" ht="15.75" x14ac:dyDescent="0.3">
      <c r="A4283" s="13" t="str">
        <f>HYPERLINK("https://parts-sales.ru/parts/MAN/06090890066","06.09089-0066")</f>
        <v>06.09089-0066</v>
      </c>
      <c r="B4283" s="13" t="str">
        <f>HYPERLINK("https://parts-sales.ru/parts/MAN/06090890066","Самонарез.винт с плоск.головк. M8X35Z1-S")</f>
        <v>Самонарез.винт с плоск.головк. M8X35Z1-S</v>
      </c>
      <c r="C4283" s="5" t="s">
        <v>6</v>
      </c>
      <c r="D4283" s="6">
        <v>258</v>
      </c>
      <c r="E4283" s="6">
        <v>71</v>
      </c>
      <c r="F4283" s="9">
        <v>0.72</v>
      </c>
      <c r="H4283" s="11"/>
      <c r="I4283" s="11"/>
      <c r="J4283" s="11"/>
    </row>
    <row r="4284" spans="1:10" ht="15.75" x14ac:dyDescent="0.3">
      <c r="A4284" s="12" t="str">
        <f>HYPERLINK("https://parts-sales.ru/parts/MAN/51965010628","51.96501-0628")</f>
        <v>51.96501-0628</v>
      </c>
      <c r="B4284" s="12" t="str">
        <f>HYPERLINK("https://parts-sales.ru/parts/MAN/51965010628","Круглое уплотнение 4,5X2-FPM")</f>
        <v>Круглое уплотнение 4,5X2-FPM</v>
      </c>
      <c r="C4284" s="3" t="s">
        <v>17</v>
      </c>
      <c r="D4284" s="4">
        <v>1502.3999999999999</v>
      </c>
      <c r="E4284" s="4">
        <v>455</v>
      </c>
      <c r="F4284" s="8">
        <v>0.7</v>
      </c>
      <c r="H4284" s="11"/>
      <c r="I4284" s="11"/>
      <c r="J4284" s="11"/>
    </row>
    <row r="4285" spans="1:10" ht="15.75" x14ac:dyDescent="0.3">
      <c r="A4285" s="13" t="str">
        <f>HYPERLINK("https://parts-sales.ru/parts/MAN/51089010174","51.08901-0174")</f>
        <v>51.08901-0174</v>
      </c>
      <c r="B4285" s="13" t="str">
        <f>HYPERLINK("https://parts-sales.ru/parts/MAN/51089010174","уплотн. выпускного коллектора Модуль рец")</f>
        <v>уплотн. выпускного коллектора Модуль рец</v>
      </c>
      <c r="C4285" s="5" t="s">
        <v>17</v>
      </c>
      <c r="D4285" s="6">
        <v>4224</v>
      </c>
      <c r="E4285" s="6">
        <v>887</v>
      </c>
      <c r="F4285" s="9">
        <v>0.79</v>
      </c>
      <c r="H4285" s="11"/>
      <c r="I4285" s="11"/>
      <c r="J4285" s="11"/>
    </row>
    <row r="4286" spans="1:10" ht="15.75" x14ac:dyDescent="0.3">
      <c r="A4286" s="12" t="str">
        <f>HYPERLINK("https://parts-sales.ru/parts/MAN/81922010122","81.92201-0122")</f>
        <v>81.92201-0122</v>
      </c>
      <c r="B4286" s="12" t="str">
        <f>HYPERLINK("https://parts-sales.ru/parts/MAN/81922010122","Глухая заклепка")</f>
        <v>Глухая заклепка</v>
      </c>
      <c r="C4286" s="3" t="s">
        <v>6</v>
      </c>
      <c r="D4286" s="4">
        <v>501.59999999999997</v>
      </c>
      <c r="E4286" s="4">
        <v>134</v>
      </c>
      <c r="F4286" s="8">
        <v>0.73</v>
      </c>
      <c r="H4286" s="11"/>
      <c r="I4286" s="11"/>
      <c r="J4286" s="11"/>
    </row>
    <row r="4287" spans="1:10" ht="15.75" x14ac:dyDescent="0.3">
      <c r="A4287" s="13" t="str">
        <f>HYPERLINK("https://parts-sales.ru/parts/MAN/06022532204","06.02253-2204")</f>
        <v>06.02253-2204</v>
      </c>
      <c r="B4287" s="13" t="str">
        <f>HYPERLINK("https://parts-sales.ru/parts/MAN/06022532204","Винт с плоской головкой M8X16Z2-8.8-MAN1")</f>
        <v>Винт с плоской головкой M8X16Z2-8.8-MAN1</v>
      </c>
      <c r="C4287" s="5" t="s">
        <v>6</v>
      </c>
      <c r="D4287" s="6">
        <v>290.39999999999998</v>
      </c>
      <c r="E4287" s="6">
        <v>60</v>
      </c>
      <c r="F4287" s="9">
        <v>0.79</v>
      </c>
      <c r="H4287" s="11"/>
      <c r="I4287" s="11"/>
      <c r="J4287" s="11"/>
    </row>
    <row r="4288" spans="1:10" ht="15.75" x14ac:dyDescent="0.3">
      <c r="A4288" s="12" t="str">
        <f>HYPERLINK("https://parts-sales.ru/parts/MAN/06090890065","06.09089-0065")</f>
        <v>06.09089-0065</v>
      </c>
      <c r="B4288" s="12" t="str">
        <f>HYPERLINK("https://parts-sales.ru/parts/MAN/06090890065","Самонарез.винт с плоск.головк. M8X25-ST-")</f>
        <v>Самонарез.винт с плоск.головк. M8X25-ST-</v>
      </c>
      <c r="C4288" s="3" t="s">
        <v>6</v>
      </c>
      <c r="D4288" s="4">
        <v>237.6</v>
      </c>
      <c r="E4288" s="4">
        <v>62</v>
      </c>
      <c r="F4288" s="8">
        <v>0.74</v>
      </c>
      <c r="H4288" s="11"/>
      <c r="I4288" s="11"/>
      <c r="J4288" s="11"/>
    </row>
    <row r="4289" spans="1:10" ht="15.75" x14ac:dyDescent="0.3">
      <c r="A4289" s="13" t="str">
        <f>HYPERLINK("https://parts-sales.ru/parts/MAN/81981836014","81.98183-6014")</f>
        <v>81.98183-6014</v>
      </c>
      <c r="B4289" s="13" t="str">
        <f>HYPERLINK("https://parts-sales.ru/parts/MAN/81981836014","Т-образный штекер T-SN12-D10-K6-CUZN/232")</f>
        <v>Т-образный штекер T-SN12-D10-K6-CUZN/232</v>
      </c>
      <c r="C4289" s="5" t="s">
        <v>41</v>
      </c>
      <c r="D4289" s="6">
        <v>6760.8</v>
      </c>
      <c r="E4289" s="6">
        <v>1930</v>
      </c>
      <c r="F4289" s="9">
        <v>0.71</v>
      </c>
      <c r="H4289" s="11"/>
      <c r="I4289" s="11"/>
      <c r="J4289" s="11"/>
    </row>
    <row r="4290" spans="1:10" ht="15.75" x14ac:dyDescent="0.3">
      <c r="A4290" s="12" t="str">
        <f>HYPERLINK("https://parts-sales.ru/parts/MAN/06569390166","06.56939-0166")</f>
        <v>06.56939-0166</v>
      </c>
      <c r="B4290" s="12" t="str">
        <f>HYPERLINK("https://parts-sales.ru/parts/MAN/06569390166","Круглое уплотнение 37,2X4-1-70IRHD")</f>
        <v>Круглое уплотнение 37,2X4-1-70IRHD</v>
      </c>
      <c r="C4290" s="3" t="s">
        <v>6</v>
      </c>
      <c r="D4290" s="4">
        <v>703.19999999999993</v>
      </c>
      <c r="E4290" s="4">
        <v>181</v>
      </c>
      <c r="F4290" s="8">
        <v>0.74</v>
      </c>
      <c r="H4290" s="11"/>
      <c r="I4290" s="11"/>
      <c r="J4290" s="11"/>
    </row>
    <row r="4291" spans="1:10" ht="15.75" x14ac:dyDescent="0.3">
      <c r="A4291" s="13" t="str">
        <f>HYPERLINK("https://parts-sales.ru/parts/MAN/81323130501","81.32313-0501")</f>
        <v>81.32313-0501</v>
      </c>
      <c r="B4291" s="13" t="str">
        <f>HYPERLINK("https://parts-sales.ru/parts/MAN/81323130501","Ротаметр")</f>
        <v>Ротаметр</v>
      </c>
      <c r="C4291" s="5" t="s">
        <v>29</v>
      </c>
      <c r="D4291" s="6">
        <v>6510</v>
      </c>
      <c r="E4291" s="6">
        <v>1262</v>
      </c>
      <c r="F4291" s="9">
        <v>0.81</v>
      </c>
      <c r="H4291" s="11"/>
      <c r="I4291" s="11"/>
      <c r="J4291" s="11"/>
    </row>
    <row r="4292" spans="1:10" ht="15.75" x14ac:dyDescent="0.3">
      <c r="A4292" s="12" t="str">
        <f>HYPERLINK("https://parts-sales.ru/parts/MAN/81637306482","81.63730-6482")</f>
        <v>81.63730-6482</v>
      </c>
      <c r="B4292" s="12" t="str">
        <f>HYPERLINK("https://parts-sales.ru/parts/MAN/81637306482","Внешнее зеркало отапливаемо и переставля")</f>
        <v>Внешнее зеркало отапливаемо и переставля</v>
      </c>
      <c r="C4292" s="3" t="s">
        <v>15</v>
      </c>
      <c r="D4292" s="4">
        <v>53617.2</v>
      </c>
      <c r="E4292" s="4">
        <v>10240</v>
      </c>
      <c r="F4292" s="8">
        <v>0.81</v>
      </c>
      <c r="H4292" s="11"/>
      <c r="I4292" s="11"/>
      <c r="J4292" s="11"/>
    </row>
    <row r="4293" spans="1:10" ht="15.75" x14ac:dyDescent="0.3">
      <c r="A4293" s="13" t="str">
        <f>HYPERLINK("https://parts-sales.ru/parts/MAN/06131690036","06.13169-0036")</f>
        <v>06.13169-0036</v>
      </c>
      <c r="B4293" s="13" t="str">
        <f>HYPERLINK("https://parts-sales.ru/parts/MAN/06131690036","Глухая заклепочная гайка AM8X17,5-ST-SNZ")</f>
        <v>Глухая заклепочная гайка AM8X17,5-ST-SNZ</v>
      </c>
      <c r="C4293" s="5" t="s">
        <v>6</v>
      </c>
      <c r="D4293" s="6">
        <v>1394.3999999999999</v>
      </c>
      <c r="E4293" s="6">
        <v>380</v>
      </c>
      <c r="F4293" s="9">
        <v>0.73</v>
      </c>
      <c r="H4293" s="11"/>
      <c r="I4293" s="11"/>
      <c r="J4293" s="11"/>
    </row>
    <row r="4294" spans="1:10" ht="15.75" x14ac:dyDescent="0.3">
      <c r="A4294" s="12" t="str">
        <f>HYPERLINK("https://parts-sales.ru/parts/MAN/81061400244","81.06140-0244")</f>
        <v>81.06140-0244</v>
      </c>
      <c r="B4294" s="12" t="str">
        <f>HYPERLINK("https://parts-sales.ru/parts/MAN/81061400244","Колпак")</f>
        <v>Колпак</v>
      </c>
      <c r="C4294" s="3" t="s">
        <v>19</v>
      </c>
      <c r="D4294" s="4">
        <v>675.6</v>
      </c>
      <c r="E4294" s="4">
        <v>179</v>
      </c>
      <c r="F4294" s="8">
        <v>0.74</v>
      </c>
      <c r="H4294" s="11"/>
      <c r="I4294" s="11"/>
      <c r="J4294" s="11"/>
    </row>
    <row r="4295" spans="1:10" ht="15.75" x14ac:dyDescent="0.3">
      <c r="A4295" s="13" t="str">
        <f>HYPERLINK("https://parts-sales.ru/parts/MAN/81906850492","81.90685-0492")</f>
        <v>81.90685-0492</v>
      </c>
      <c r="B4295" s="13" t="str">
        <f>HYPERLINK("https://parts-sales.ru/parts/MAN/81906850492","6-гранная стопорная гайка M20X1,5X13-FE/")</f>
        <v>6-гранная стопорная гайка M20X1,5X13-FE/</v>
      </c>
      <c r="C4295" s="5" t="s">
        <v>6</v>
      </c>
      <c r="D4295" s="6">
        <v>1821.6</v>
      </c>
      <c r="E4295" s="6">
        <v>327</v>
      </c>
      <c r="F4295" s="9">
        <v>0.82</v>
      </c>
      <c r="H4295" s="11"/>
      <c r="I4295" s="11"/>
      <c r="J4295" s="11"/>
    </row>
    <row r="4296" spans="1:10" ht="15.75" x14ac:dyDescent="0.3">
      <c r="A4296" s="12" t="str">
        <f>HYPERLINK("https://parts-sales.ru/parts/MAN/81063035686","81.06303-5686")</f>
        <v>81.06303-5686</v>
      </c>
      <c r="B4296" s="12" t="str">
        <f>HYPERLINK("https://parts-sales.ru/parts/MAN/81063035686","Воздухоотводной провод")</f>
        <v>Воздухоотводной провод</v>
      </c>
      <c r="C4296" s="3" t="s">
        <v>19</v>
      </c>
      <c r="D4296" s="4">
        <v>6682.8</v>
      </c>
      <c r="E4296" s="4">
        <v>1674</v>
      </c>
      <c r="F4296" s="8">
        <v>0.75</v>
      </c>
      <c r="H4296" s="11"/>
      <c r="I4296" s="11"/>
      <c r="J4296" s="11"/>
    </row>
    <row r="4297" spans="1:10" ht="15.75" x14ac:dyDescent="0.3">
      <c r="A4297" s="13" t="str">
        <f>HYPERLINK("https://parts-sales.ru/parts/MAN/81417226086","81.41722-6086")</f>
        <v>81.41722-6086</v>
      </c>
      <c r="B4297" s="13" t="str">
        <f>HYPERLINK("https://parts-sales.ru/parts/MAN/81417226086","Амортизатор кабины передний")</f>
        <v>Амортизатор кабины передний</v>
      </c>
      <c r="C4297" s="5" t="s">
        <v>32</v>
      </c>
      <c r="D4297" s="6">
        <v>60555.6</v>
      </c>
      <c r="E4297" s="6">
        <v>14673</v>
      </c>
      <c r="F4297" s="9">
        <v>0.76</v>
      </c>
      <c r="H4297" s="11"/>
      <c r="I4297" s="11"/>
      <c r="J4297" s="11"/>
    </row>
    <row r="4298" spans="1:10" ht="15.75" x14ac:dyDescent="0.3">
      <c r="A4298" s="12" t="str">
        <f>HYPERLINK("https://parts-sales.ru/parts/MAN/51039050161","51.03905-0161")</f>
        <v>51.03905-0161</v>
      </c>
      <c r="B4298" s="12" t="str">
        <f>HYPERLINK("https://parts-sales.ru/parts/MAN/51039050161","упл. крышки головки цилиндра без асбеста")</f>
        <v>упл. крышки головки цилиндра без асбеста</v>
      </c>
      <c r="C4298" s="3" t="s">
        <v>17</v>
      </c>
      <c r="D4298" s="4">
        <v>6212.4</v>
      </c>
      <c r="E4298" s="4">
        <v>1309</v>
      </c>
      <c r="F4298" s="8">
        <v>0.79</v>
      </c>
      <c r="H4298" s="11"/>
      <c r="I4298" s="11"/>
      <c r="J4298" s="11"/>
    </row>
    <row r="4299" spans="1:10" ht="15.75" x14ac:dyDescent="0.3">
      <c r="A4299" s="13" t="str">
        <f>HYPERLINK("https://parts-sales.ru/parts/MAN/81779100019","81.77910-0019")</f>
        <v>81.77910-0019</v>
      </c>
      <c r="B4299" s="13" t="str">
        <f>HYPERLINK("https://parts-sales.ru/parts/MAN/81779100019","Салонный фильтр")</f>
        <v>Салонный фильтр</v>
      </c>
      <c r="C4299" s="5" t="s">
        <v>16</v>
      </c>
      <c r="D4299" s="6">
        <v>1274.3999999999999</v>
      </c>
      <c r="E4299" s="6">
        <v>206</v>
      </c>
      <c r="F4299" s="9">
        <v>0.84</v>
      </c>
      <c r="H4299" s="11"/>
      <c r="I4299" s="11"/>
      <c r="J4299" s="11"/>
    </row>
    <row r="4300" spans="1:10" ht="15.75" x14ac:dyDescent="0.3">
      <c r="A4300" s="12" t="str">
        <f>HYPERLINK("https://parts-sales.ru/parts/MAN/06110652220","06.11065-2220")</f>
        <v>06.11065-2220</v>
      </c>
      <c r="B4300" s="12" t="str">
        <f>HYPERLINK("https://parts-sales.ru/parts/MAN/06110652220","Шестигранная гайка M20X2-10-A-MAN183-B1")</f>
        <v>Шестигранная гайка M20X2-10-A-MAN183-B1</v>
      </c>
      <c r="C4300" s="3" t="s">
        <v>6</v>
      </c>
      <c r="D4300" s="4">
        <v>1147.2</v>
      </c>
      <c r="E4300" s="4">
        <v>183</v>
      </c>
      <c r="F4300" s="8">
        <v>0.84</v>
      </c>
      <c r="H4300" s="11"/>
      <c r="I4300" s="11"/>
      <c r="J4300" s="11"/>
    </row>
    <row r="4301" spans="1:10" ht="15.75" x14ac:dyDescent="0.3">
      <c r="A4301" s="13" t="str">
        <f>HYPERLINK("https://parts-sales.ru/parts/MAN/85466106169","85.46610-6169")</f>
        <v>85.46610-6169</v>
      </c>
      <c r="B4301" s="13" t="str">
        <f>HYPERLINK("https://parts-sales.ru/parts/MAN/85466106169","Продольная рулевая тяга LM")</f>
        <v>Продольная рулевая тяга LM</v>
      </c>
      <c r="C4301" s="5" t="s">
        <v>37</v>
      </c>
      <c r="D4301" s="6">
        <v>63709.2</v>
      </c>
      <c r="E4301" s="6">
        <v>10124</v>
      </c>
      <c r="F4301" s="9">
        <v>0.84</v>
      </c>
      <c r="H4301" s="11"/>
      <c r="I4301" s="11"/>
      <c r="J4301" s="11"/>
    </row>
    <row r="4302" spans="1:10" ht="15.75" x14ac:dyDescent="0.3">
      <c r="A4302" s="12" t="str">
        <f>HYPERLINK("https://parts-sales.ru/parts/MAN/81323130179","81.32313-0179")</f>
        <v>81.32313-0179</v>
      </c>
      <c r="B4302" s="12" t="str">
        <f>HYPERLINK("https://parts-sales.ru/parts/MAN/81323130179","Компенсационная шайба 87X102,7X2,1-CK60-")</f>
        <v>Компенсационная шайба 87X102,7X2,1-CK60-</v>
      </c>
      <c r="C4302" s="3" t="s">
        <v>29</v>
      </c>
      <c r="D4302" s="4">
        <v>7152</v>
      </c>
      <c r="E4302" s="4">
        <v>1136</v>
      </c>
      <c r="F4302" s="8">
        <v>0.84</v>
      </c>
      <c r="H4302" s="11"/>
      <c r="I4302" s="11"/>
      <c r="J4302" s="11"/>
    </row>
    <row r="4303" spans="1:10" ht="15.75" x14ac:dyDescent="0.3">
      <c r="A4303" s="13" t="str">
        <f>HYPERLINK("https://parts-sales.ru/parts/MAN/06569390043","06.56939-0043")</f>
        <v>06.56939-0043</v>
      </c>
      <c r="B4303" s="13" t="str">
        <f>HYPERLINK("https://parts-sales.ru/parts/MAN/06569390043","Круглое уплотнение 52X3N-EPDM9-70")</f>
        <v>Круглое уплотнение 52X3N-EPDM9-70</v>
      </c>
      <c r="C4303" s="5" t="s">
        <v>6</v>
      </c>
      <c r="D4303" s="6">
        <v>3868.7999999999997</v>
      </c>
      <c r="E4303" s="6">
        <v>787</v>
      </c>
      <c r="F4303" s="9">
        <v>0.8</v>
      </c>
      <c r="H4303" s="11"/>
      <c r="I4303" s="11"/>
      <c r="J4303" s="11"/>
    </row>
    <row r="4304" spans="1:10" ht="15.75" x14ac:dyDescent="0.3">
      <c r="A4304" s="12" t="str">
        <f>HYPERLINK("https://parts-sales.ru/parts/MAN/51981030044","51.98103-0044")</f>
        <v>51.98103-0044</v>
      </c>
      <c r="B4304" s="12" t="str">
        <f>HYPERLINK("https://parts-sales.ru/parts/MAN/51981030044","Кольцевой штуцер 10,1/M10X1")</f>
        <v>Кольцевой штуцер 10,1/M10X1</v>
      </c>
      <c r="C4304" s="3" t="s">
        <v>17</v>
      </c>
      <c r="D4304" s="4">
        <v>4806</v>
      </c>
      <c r="E4304" s="4">
        <v>749</v>
      </c>
      <c r="F4304" s="8">
        <v>0.84</v>
      </c>
      <c r="H4304" s="11"/>
      <c r="I4304" s="11"/>
      <c r="J4304" s="11"/>
    </row>
    <row r="4305" spans="1:10" ht="15.75" x14ac:dyDescent="0.3">
      <c r="A4305" s="13" t="str">
        <f>HYPERLINK("https://parts-sales.ru/parts/MAN/81154076006","81.15407-6006")</f>
        <v>81.15407-6006</v>
      </c>
      <c r="B4305" s="13" t="str">
        <f>HYPERLINK("https://parts-sales.ru/parts/MAN/81154076006","Рециркул. трубопровод PA-9x1,5")</f>
        <v>Рециркул. трубопровод PA-9x1,5</v>
      </c>
      <c r="C4305" s="5" t="s">
        <v>21</v>
      </c>
      <c r="D4305" s="6">
        <v>6771.5999999999995</v>
      </c>
      <c r="E4305" s="6">
        <v>970</v>
      </c>
      <c r="F4305" s="9">
        <v>0.86</v>
      </c>
      <c r="H4305" s="11"/>
      <c r="I4305" s="11"/>
      <c r="J4305" s="11"/>
    </row>
    <row r="4306" spans="1:10" ht="15.75" x14ac:dyDescent="0.3">
      <c r="A4306" s="12" t="str">
        <f>HYPERLINK("https://parts-sales.ru/parts/MAN/07912160102","07.91216-0102")</f>
        <v>07.91216-0102</v>
      </c>
      <c r="B4306" s="12" t="str">
        <f>HYPERLINK("https://parts-sales.ru/parts/MAN/07912160102","Круглый штекер 1,6-2,5ST-CUSN-SN")</f>
        <v>Круглый штекер 1,6-2,5ST-CUSN-SN</v>
      </c>
      <c r="C4306" s="3" t="s">
        <v>8</v>
      </c>
      <c r="D4306" s="4">
        <v>427.2</v>
      </c>
      <c r="E4306" s="4">
        <v>57</v>
      </c>
      <c r="F4306" s="8">
        <v>0.87</v>
      </c>
      <c r="H4306" s="11"/>
      <c r="I4306" s="11"/>
      <c r="J4306" s="11"/>
    </row>
    <row r="4307" spans="1:10" ht="15.75" x14ac:dyDescent="0.3">
      <c r="A4307" s="13" t="str">
        <f>HYPERLINK("https://parts-sales.ru/parts/MAN/51965010568","51.96501-0568")</f>
        <v>51.96501-0568</v>
      </c>
      <c r="B4307" s="13" t="str">
        <f>HYPERLINK("https://parts-sales.ru/parts/MAN/51965010568","Круглое уплотнение 11X2,5-FPM1-60")</f>
        <v>Круглое уплотнение 11X2,5-FPM1-60</v>
      </c>
      <c r="C4307" s="5" t="s">
        <v>17</v>
      </c>
      <c r="D4307" s="6">
        <v>1033.2</v>
      </c>
      <c r="E4307" s="6">
        <v>132</v>
      </c>
      <c r="F4307" s="9">
        <v>0.87</v>
      </c>
      <c r="H4307" s="11"/>
      <c r="I4307" s="11"/>
      <c r="J4307" s="11"/>
    </row>
    <row r="4308" spans="1:10" ht="15.75" x14ac:dyDescent="0.3">
      <c r="A4308" s="12" t="str">
        <f>HYPERLINK("https://parts-sales.ru/parts/MAN/06032158304","06.03215-8304")</f>
        <v>06.03215-8304</v>
      </c>
      <c r="B4308" s="12" t="str">
        <f>HYPERLINK("https://parts-sales.ru/parts/MAN/06032158304","6-гран. фланцевый винт M8X20-8.8-MAN183-")</f>
        <v>6-гран. фланцевый винт M8X20-8.8-MAN183-</v>
      </c>
      <c r="C4308" s="3" t="s">
        <v>6</v>
      </c>
      <c r="D4308" s="4">
        <v>331.2</v>
      </c>
      <c r="E4308" s="4">
        <v>41</v>
      </c>
      <c r="F4308" s="8">
        <v>0.88</v>
      </c>
      <c r="H4308" s="11"/>
      <c r="I4308" s="11"/>
      <c r="J4308" s="11"/>
    </row>
    <row r="4309" spans="1:10" ht="15.75" x14ac:dyDescent="0.3">
      <c r="A4309" s="13" t="str">
        <f>HYPERLINK("https://parts-sales.ru/parts/MAN/06290190226","06.29019-0226")</f>
        <v>06.29019-0226</v>
      </c>
      <c r="B4309" s="13" t="str">
        <f>HYPERLINK("https://parts-sales.ru/parts/MAN/06290190226","Стопорное кольцо 50X2,95")</f>
        <v>Стопорное кольцо 50X2,95</v>
      </c>
      <c r="C4309" s="5" t="s">
        <v>6</v>
      </c>
      <c r="D4309" s="6">
        <v>2487.6</v>
      </c>
      <c r="E4309" s="6">
        <v>308</v>
      </c>
      <c r="F4309" s="9">
        <v>0.88</v>
      </c>
      <c r="H4309" s="11"/>
      <c r="I4309" s="11"/>
      <c r="J4309" s="11"/>
    </row>
    <row r="4310" spans="1:10" ht="15.75" x14ac:dyDescent="0.3">
      <c r="A4310" s="12" t="str">
        <f>HYPERLINK("https://parts-sales.ru/parts/MAN/81326410235","81.32641-0235")</f>
        <v>81.32641-0235</v>
      </c>
      <c r="B4310" s="12" t="str">
        <f>HYPERLINK("https://parts-sales.ru/parts/MAN/81326410235","Держатель Включение тросового привода")</f>
        <v>Держатель Включение тросового привода</v>
      </c>
      <c r="C4310" s="3" t="s">
        <v>29</v>
      </c>
      <c r="D4310" s="4">
        <v>4320</v>
      </c>
      <c r="E4310" s="4">
        <v>391</v>
      </c>
      <c r="F4310" s="8">
        <v>0.91</v>
      </c>
      <c r="H4310" s="11"/>
      <c r="I4310" s="11"/>
      <c r="J4310" s="11"/>
    </row>
    <row r="4311" spans="1:10" ht="15.75" x14ac:dyDescent="0.3">
      <c r="A4311" s="13" t="str">
        <f>HYPERLINK("https://parts-sales.ru/parts/MAN/81626106017","81.62610-6017")</f>
        <v>81.62610-6017</v>
      </c>
      <c r="B4311" s="13" t="str">
        <f>HYPERLINK("https://parts-sales.ru/parts/MAN/81626106017","Удлинение дверей широкий")</f>
        <v>Удлинение дверей широкий</v>
      </c>
      <c r="C4311" s="5" t="s">
        <v>15</v>
      </c>
      <c r="D4311" s="6">
        <v>106471.2</v>
      </c>
      <c r="E4311" s="6">
        <v>10350</v>
      </c>
      <c r="F4311" s="9">
        <v>0.9</v>
      </c>
      <c r="H4311" s="11"/>
      <c r="I4311" s="11"/>
      <c r="J4311" s="11"/>
    </row>
    <row r="4312" spans="1:10" ht="15.75" x14ac:dyDescent="0.3">
      <c r="A4312" s="12" t="str">
        <f>HYPERLINK("https://parts-sales.ru/parts/MAN/81437055232","81.43705-5232")</f>
        <v>81.43705-5232</v>
      </c>
      <c r="B4312" s="12" t="str">
        <f>HYPERLINK("https://parts-sales.ru/parts/MAN/81437055232","Держатель Амортизатор")</f>
        <v>Держатель Амортизатор</v>
      </c>
      <c r="C4312" s="3" t="s">
        <v>34</v>
      </c>
      <c r="D4312" s="4">
        <v>5343.5999999999995</v>
      </c>
      <c r="E4312" s="4">
        <v>385</v>
      </c>
      <c r="F4312" s="8">
        <v>0.93</v>
      </c>
      <c r="H4312" s="11"/>
      <c r="I4312" s="11"/>
      <c r="J4312" s="11"/>
    </row>
    <row r="4313" spans="1:10" ht="15.75" x14ac:dyDescent="0.3">
      <c r="A4313" s="13" t="str">
        <f>HYPERLINK("https://parts-sales.ru/parts/MAN/81254335020","81.25433-5020")</f>
        <v>81.25433-5020</v>
      </c>
      <c r="B4313" s="13" t="str">
        <f>HYPERLINK("https://parts-sales.ru/parts/MAN/81254335020","Держатель")</f>
        <v>Держатель</v>
      </c>
      <c r="C4313" s="5" t="s">
        <v>8</v>
      </c>
      <c r="D4313" s="6">
        <v>8697.6</v>
      </c>
      <c r="E4313" s="6">
        <v>485</v>
      </c>
      <c r="F4313" s="9">
        <v>0.94</v>
      </c>
      <c r="H4313" s="11"/>
      <c r="I4313" s="11"/>
      <c r="J4313" s="11"/>
    </row>
    <row r="4314" spans="1:10" ht="15.75" x14ac:dyDescent="0.3">
      <c r="A4314" s="12" t="str">
        <f>HYPERLINK("https://parts-sales.ru/parts/MAN/81416105791","81.41610-5791")</f>
        <v>81.41610-5791</v>
      </c>
      <c r="B4314" s="12" t="str">
        <f>HYPERLINK("https://parts-sales.ru/parts/MAN/81416105791","Держатель")</f>
        <v>Держатель</v>
      </c>
      <c r="C4314" s="3" t="s">
        <v>32</v>
      </c>
      <c r="D4314" s="4">
        <v>58168.799999999996</v>
      </c>
      <c r="E4314" s="4">
        <v>3845</v>
      </c>
      <c r="F4314" s="8">
        <v>0.93</v>
      </c>
      <c r="H4314" s="11"/>
      <c r="I4314" s="11"/>
      <c r="J4314" s="11"/>
    </row>
    <row r="4315" spans="1:10" ht="15.75" x14ac:dyDescent="0.3">
      <c r="A4315" s="13" t="str">
        <f>HYPERLINK("https://parts-sales.ru/parts/MAN/81619605075","81.61960-5075")</f>
        <v>81.61960-5075</v>
      </c>
      <c r="B4315" s="13" t="str">
        <f>HYPERLINK("https://parts-sales.ru/parts/MAN/81619605075","Теплопровод")</f>
        <v>Теплопровод</v>
      </c>
      <c r="C4315" s="5" t="s">
        <v>27</v>
      </c>
      <c r="D4315" s="6">
        <v>16246.8</v>
      </c>
      <c r="E4315" s="6">
        <v>1179</v>
      </c>
      <c r="F4315" s="9">
        <v>0.93</v>
      </c>
      <c r="H4315" s="11"/>
      <c r="I4315" s="11"/>
      <c r="J4315" s="11"/>
    </row>
    <row r="4316" spans="1:10" ht="15.75" x14ac:dyDescent="0.3">
      <c r="A4316" s="12" t="str">
        <f>HYPERLINK("https://parts-sales.ru/parts/MAN/81416155182","81.41615-5182")</f>
        <v>81.41615-5182</v>
      </c>
      <c r="B4316" s="12" t="str">
        <f>HYPERLINK("https://parts-sales.ru/parts/MAN/81416155182","Опора")</f>
        <v>Опора</v>
      </c>
      <c r="C4316" s="3" t="s">
        <v>32</v>
      </c>
      <c r="D4316" s="4">
        <v>12604.8</v>
      </c>
      <c r="E4316" s="4">
        <v>815</v>
      </c>
      <c r="F4316" s="8">
        <v>0.94</v>
      </c>
      <c r="H4316" s="11"/>
      <c r="I4316" s="11"/>
      <c r="J4316" s="11"/>
    </row>
    <row r="4317" spans="1:10" ht="15.75" x14ac:dyDescent="0.3">
      <c r="A4317" s="13" t="str">
        <f>HYPERLINK("https://parts-sales.ru/parts/MAN/81619605077","81.61960-5077")</f>
        <v>81.61960-5077</v>
      </c>
      <c r="B4317" s="13" t="str">
        <f>HYPERLINK("https://parts-sales.ru/parts/MAN/81619605077","Теплопровод")</f>
        <v>Теплопровод</v>
      </c>
      <c r="C4317" s="5" t="s">
        <v>27</v>
      </c>
      <c r="D4317" s="6">
        <v>15986.4</v>
      </c>
      <c r="E4317" s="6">
        <v>784</v>
      </c>
      <c r="F4317" s="9">
        <v>0.95</v>
      </c>
      <c r="H4317" s="11"/>
      <c r="I4317" s="11"/>
      <c r="J4317" s="11"/>
    </row>
    <row r="4318" spans="1:10" ht="15.75" x14ac:dyDescent="0.3">
      <c r="A4318" s="12" t="str">
        <f>HYPERLINK("https://parts-sales.ru/parts/MAN/81413350160","81.41335-0160")</f>
        <v>81.41335-0160</v>
      </c>
      <c r="B4318" s="12" t="str">
        <f>HYPERLINK("https://parts-sales.ru/parts/MAN/81413350160","Накладка стремянки рессоры")</f>
        <v>Накладка стремянки рессоры</v>
      </c>
      <c r="C4318" s="3" t="s">
        <v>32</v>
      </c>
      <c r="D4318" s="4">
        <v>8638.7999999999993</v>
      </c>
      <c r="E4318" s="4">
        <v>413</v>
      </c>
      <c r="F4318" s="8">
        <v>0.95</v>
      </c>
      <c r="H4318" s="11"/>
      <c r="I4318" s="11"/>
      <c r="J4318" s="11"/>
    </row>
    <row r="4319" spans="1:10" ht="15.75" x14ac:dyDescent="0.3">
      <c r="A4319" s="13" t="str">
        <f>HYPERLINK("https://parts-sales.ru/parts/MAN/81416100907","81.41610-0907")</f>
        <v>81.41610-0907</v>
      </c>
      <c r="B4319" s="13" t="str">
        <f>HYPERLINK("https://parts-sales.ru/parts/MAN/81416100907","козырек над входом")</f>
        <v>козырек над входом</v>
      </c>
      <c r="C4319" s="5" t="s">
        <v>32</v>
      </c>
      <c r="D4319" s="6">
        <v>12372</v>
      </c>
      <c r="E4319" s="6">
        <v>746</v>
      </c>
      <c r="F4319" s="9">
        <v>0.94</v>
      </c>
      <c r="H4319" s="11"/>
      <c r="I4319" s="11"/>
      <c r="J4319" s="11"/>
    </row>
    <row r="4320" spans="1:10" ht="15.75" x14ac:dyDescent="0.3">
      <c r="A4320" s="12" t="str">
        <f>HYPERLINK("https://parts-sales.ru/parts/MAN/81615205050","81.61520-5050")</f>
        <v>81.61520-5050</v>
      </c>
      <c r="B4320" s="12" t="str">
        <f>HYPERLINK("https://parts-sales.ru/parts/MAN/81615205050","Консоль")</f>
        <v>Консоль</v>
      </c>
      <c r="C4320" s="3" t="s">
        <v>15</v>
      </c>
      <c r="D4320" s="4">
        <v>11047.199999999999</v>
      </c>
      <c r="E4320" s="4">
        <v>662</v>
      </c>
      <c r="F4320" s="8">
        <v>0.94</v>
      </c>
      <c r="H4320" s="11"/>
      <c r="I4320" s="11"/>
      <c r="J4320" s="11"/>
    </row>
    <row r="4321" spans="1:10" ht="15.75" x14ac:dyDescent="0.3">
      <c r="A4321" s="13" t="str">
        <f>HYPERLINK("https://parts-sales.ru/parts/MAN/81615205049","81.61520-5049")</f>
        <v>81.61520-5049</v>
      </c>
      <c r="B4321" s="13" t="str">
        <f>HYPERLINK("https://parts-sales.ru/parts/MAN/81615205049","Консоль")</f>
        <v>Консоль</v>
      </c>
      <c r="C4321" s="5" t="s">
        <v>15</v>
      </c>
      <c r="D4321" s="6">
        <v>11047.199999999999</v>
      </c>
      <c r="E4321" s="6">
        <v>514</v>
      </c>
      <c r="F4321" s="9">
        <v>0.95</v>
      </c>
      <c r="H4321" s="11"/>
      <c r="I4321" s="11"/>
      <c r="J4321" s="11"/>
    </row>
    <row r="4322" spans="1:10" ht="15.75" x14ac:dyDescent="0.3">
      <c r="A4322" s="12" t="str">
        <f>HYPERLINK("https://parts-sales.ru/parts/MAN/81254055022","81.25405-5022")</f>
        <v>81.25405-5022</v>
      </c>
      <c r="B4322" s="12" t="str">
        <f>HYPERLINK("https://parts-sales.ru/parts/MAN/81254055022","электропроводка 70X2600-10/10")</f>
        <v>электропроводка 70X2600-10/10</v>
      </c>
      <c r="C4322" s="3" t="s">
        <v>8</v>
      </c>
      <c r="D4322" s="4">
        <v>29686.799999999999</v>
      </c>
      <c r="E4322" s="4">
        <v>1680</v>
      </c>
      <c r="F4322" s="8">
        <v>0.94</v>
      </c>
      <c r="H4322" s="11"/>
      <c r="I4322" s="11"/>
      <c r="J4322" s="11"/>
    </row>
    <row r="4323" spans="1:10" ht="15.75" x14ac:dyDescent="0.3">
      <c r="A4323" s="13" t="str">
        <f>HYPERLINK("https://parts-sales.ru/parts/MAN/81437400187","81.43740-0187")</f>
        <v>81.43740-0187</v>
      </c>
      <c r="B4323" s="13" t="str">
        <f>HYPERLINK("https://parts-sales.ru/parts/MAN/81437400187","Держатель опора стабилизатора")</f>
        <v>Держатель опора стабилизатора</v>
      </c>
      <c r="C4323" s="5" t="s">
        <v>34</v>
      </c>
      <c r="D4323" s="6">
        <v>3603.6</v>
      </c>
      <c r="E4323" s="6">
        <v>157</v>
      </c>
      <c r="F4323" s="9">
        <v>0.96</v>
      </c>
      <c r="H4323" s="11"/>
      <c r="I4323" s="11"/>
      <c r="J4323" s="11"/>
    </row>
    <row r="4324" spans="1:10" ht="15.75" x14ac:dyDescent="0.3">
      <c r="A4324" s="12" t="str">
        <f>HYPERLINK("https://parts-sales.ru/parts/MAN/81254817547","81.25481-7547")</f>
        <v>81.25481-7547</v>
      </c>
      <c r="B4324" s="12" t="str">
        <f>HYPERLINK("https://parts-sales.ru/parts/MAN/81254817547","деталь (часть), жгут проводов Фара")</f>
        <v>деталь (часть), жгут проводов Фара</v>
      </c>
      <c r="C4324" s="3" t="s">
        <v>8</v>
      </c>
      <c r="D4324" s="4">
        <v>23596.799999999999</v>
      </c>
      <c r="E4324" s="4">
        <v>951</v>
      </c>
      <c r="F4324" s="8">
        <v>0.96</v>
      </c>
      <c r="H4324" s="11"/>
      <c r="I4324" s="11"/>
      <c r="J4324" s="11"/>
    </row>
    <row r="4325" spans="1:10" ht="15.75" x14ac:dyDescent="0.3">
      <c r="A4325" s="13" t="str">
        <f>HYPERLINK("https://parts-sales.ru/parts/MAN/81154006002","81.15400-6002")</f>
        <v>81.15400-6002</v>
      </c>
      <c r="B4325" s="13" t="str">
        <f>HYPERLINK("https://parts-sales.ru/parts/MAN/81154006002","Пучок труб")</f>
        <v>Пучок труб</v>
      </c>
      <c r="C4325" s="5" t="s">
        <v>21</v>
      </c>
      <c r="D4325" s="6">
        <v>31549.199999999997</v>
      </c>
      <c r="E4325" s="6">
        <v>1579</v>
      </c>
      <c r="F4325" s="9">
        <v>0.95</v>
      </c>
      <c r="H4325" s="11"/>
      <c r="I4325" s="11"/>
      <c r="J4325" s="11"/>
    </row>
    <row r="4326" spans="1:10" ht="15.75" x14ac:dyDescent="0.3">
      <c r="A4326" s="12" t="str">
        <f>HYPERLINK("https://parts-sales.ru/parts/MAN/81416100885","81.41610-0885")</f>
        <v>81.41610-0885</v>
      </c>
      <c r="B4326" s="12" t="str">
        <f>HYPERLINK("https://parts-sales.ru/parts/MAN/81416100885","Защита радиатора")</f>
        <v>Защита радиатора</v>
      </c>
      <c r="C4326" s="3" t="s">
        <v>32</v>
      </c>
      <c r="D4326" s="4">
        <v>13951.199999999999</v>
      </c>
      <c r="E4326" s="4">
        <v>540</v>
      </c>
      <c r="F4326" s="8">
        <v>0.96</v>
      </c>
      <c r="H4326" s="11"/>
      <c r="I4326" s="11"/>
      <c r="J4326" s="11"/>
    </row>
    <row r="4327" spans="1:10" ht="15.75" x14ac:dyDescent="0.3">
      <c r="A4327" s="13" t="str">
        <f>HYPERLINK("https://parts-sales.ru/parts/MAN/81980016018","81.98001-6018")</f>
        <v>81.98001-6018</v>
      </c>
      <c r="B4327" s="13" t="str">
        <f>HYPERLINK("https://parts-sales.ru/parts/MAN/81980016018","Плав. резьбовое соединение L15M-MAN183-B")</f>
        <v>Плав. резьбовое соединение L15M-MAN183-B</v>
      </c>
      <c r="C4327" s="5" t="s">
        <v>41</v>
      </c>
      <c r="D4327" s="6">
        <v>15699.599999999999</v>
      </c>
      <c r="E4327" s="6">
        <v>733</v>
      </c>
      <c r="F4327" s="9">
        <v>0.95</v>
      </c>
      <c r="H4327" s="11"/>
      <c r="I4327" s="11"/>
      <c r="J4327" s="11"/>
    </row>
    <row r="4328" spans="1:10" ht="15.75" x14ac:dyDescent="0.3">
      <c r="A4328" s="12" t="str">
        <f>HYPERLINK("https://parts-sales.ru/parts/MAN/81082405244","81.08240-5244")</f>
        <v>81.08240-5244</v>
      </c>
      <c r="B4328" s="12" t="str">
        <f>HYPERLINK("https://parts-sales.ru/parts/MAN/81082405244","Держатель")</f>
        <v>Держатель</v>
      </c>
      <c r="C4328" s="3" t="s">
        <v>18</v>
      </c>
      <c r="D4328" s="4">
        <v>5764.8</v>
      </c>
      <c r="E4328" s="4">
        <v>280</v>
      </c>
      <c r="F4328" s="8">
        <v>0.95</v>
      </c>
      <c r="H4328" s="11"/>
      <c r="I4328" s="11"/>
      <c r="J4328" s="11"/>
    </row>
    <row r="4329" spans="1:10" ht="15.75" x14ac:dyDescent="0.3">
      <c r="A4329" s="13" t="str">
        <f>HYPERLINK("https://parts-sales.ru/parts/MAN/81437400198","81.43740-0198")</f>
        <v>81.43740-0198</v>
      </c>
      <c r="B4329" s="13" t="str">
        <f>HYPERLINK("https://parts-sales.ru/parts/MAN/81437400198","Держатель Амортизатор")</f>
        <v>Держатель Амортизатор</v>
      </c>
      <c r="C4329" s="5" t="s">
        <v>34</v>
      </c>
      <c r="D4329" s="6">
        <v>13450.8</v>
      </c>
      <c r="E4329" s="6">
        <v>553</v>
      </c>
      <c r="F4329" s="9">
        <v>0.96</v>
      </c>
      <c r="H4329" s="11"/>
      <c r="I4329" s="11"/>
      <c r="J4329" s="11"/>
    </row>
    <row r="4330" spans="1:10" ht="15.75" x14ac:dyDescent="0.3">
      <c r="A4330" s="12" t="str">
        <f>HYPERLINK("https://parts-sales.ru/parts/MAN/81155020263","81.15502-0263")</f>
        <v>81.15502-0263</v>
      </c>
      <c r="B4330" s="12" t="str">
        <f>HYPERLINK("https://parts-sales.ru/parts/MAN/81155020263","Держатель")</f>
        <v>Держатель</v>
      </c>
      <c r="C4330" s="3" t="s">
        <v>21</v>
      </c>
      <c r="D4330" s="4">
        <v>16650</v>
      </c>
      <c r="E4330" s="4">
        <v>506</v>
      </c>
      <c r="F4330" s="8">
        <v>0.97</v>
      </c>
      <c r="H4330" s="11"/>
      <c r="I4330" s="11"/>
      <c r="J4330" s="11"/>
    </row>
    <row r="4331" spans="1:10" ht="15.75" x14ac:dyDescent="0.3">
      <c r="A4331" s="13" t="str">
        <f>HYPERLINK("https://parts-sales.ru/parts/MAN/81416105817","81.41610-5817")</f>
        <v>81.41610-5817</v>
      </c>
      <c r="B4331" s="13" t="str">
        <f>HYPERLINK("https://parts-sales.ru/parts/MAN/81416105817","Консоль")</f>
        <v>Консоль</v>
      </c>
      <c r="C4331" s="5" t="s">
        <v>32</v>
      </c>
      <c r="D4331" s="6">
        <v>10246.799999999999</v>
      </c>
      <c r="E4331" s="6">
        <v>360</v>
      </c>
      <c r="F4331" s="9">
        <v>0.96</v>
      </c>
      <c r="H4331" s="11"/>
      <c r="I4331" s="11"/>
      <c r="J4331" s="11"/>
    </row>
    <row r="4332" spans="1:10" ht="15.75" x14ac:dyDescent="0.3">
      <c r="A4332" s="12" t="str">
        <f>HYPERLINK("https://parts-sales.ru/parts/MAN/81437400188","81.43740-0188")</f>
        <v>81.43740-0188</v>
      </c>
      <c r="B4332" s="12" t="str">
        <f>HYPERLINK("https://parts-sales.ru/parts/MAN/81437400188","Держатель опора стабилизатора")</f>
        <v>Держатель опора стабилизатора</v>
      </c>
      <c r="C4332" s="3" t="s">
        <v>34</v>
      </c>
      <c r="D4332" s="4">
        <v>3603.6</v>
      </c>
      <c r="E4332" s="4">
        <v>98</v>
      </c>
      <c r="F4332" s="8">
        <v>0.97</v>
      </c>
      <c r="H4332" s="11"/>
      <c r="I4332" s="11"/>
      <c r="J4332" s="11"/>
    </row>
    <row r="4333" spans="1:10" ht="15.75" x14ac:dyDescent="0.3">
      <c r="A4333" s="13" t="str">
        <f>HYPERLINK("https://parts-sales.ru/parts/MAN/81615200306","81.61520-0306")</f>
        <v>81.61520-0306</v>
      </c>
      <c r="B4333" s="13" t="str">
        <f>HYPERLINK("https://parts-sales.ru/parts/MAN/81615200306","Подножка")</f>
        <v>Подножка</v>
      </c>
      <c r="C4333" s="5" t="s">
        <v>15</v>
      </c>
      <c r="D4333" s="6">
        <v>24079.200000000001</v>
      </c>
      <c r="E4333" s="6">
        <v>649</v>
      </c>
      <c r="F4333" s="9">
        <v>0.97</v>
      </c>
      <c r="H4333" s="11"/>
      <c r="I4333" s="11"/>
      <c r="J4333" s="11"/>
    </row>
    <row r="4334" spans="1:10" ht="15.75" x14ac:dyDescent="0.3">
      <c r="A4334" s="12" t="str">
        <f>HYPERLINK("https://parts-sales.ru/parts/MAN/81615200303","81.61520-0303")</f>
        <v>81.61520-0303</v>
      </c>
      <c r="B4334" s="12" t="str">
        <f>HYPERLINK("https://parts-sales.ru/parts/MAN/81615200303","Подножка")</f>
        <v>Подножка</v>
      </c>
      <c r="C4334" s="3" t="s">
        <v>15</v>
      </c>
      <c r="D4334" s="4">
        <v>15760.8</v>
      </c>
      <c r="E4334" s="4">
        <v>318</v>
      </c>
      <c r="F4334" s="8">
        <v>0.98</v>
      </c>
      <c r="H4334" s="11"/>
      <c r="I4334" s="11"/>
      <c r="J4334" s="11"/>
    </row>
    <row r="4335" spans="1:10" ht="15.75" x14ac:dyDescent="0.3">
      <c r="A4335" s="13" t="str">
        <f>HYPERLINK("https://parts-sales.ru/parts/MAN/81981836420","81.98183-6420")</f>
        <v>81.98183-6420</v>
      </c>
      <c r="B4335" s="13" t="str">
        <f>HYPERLINK("https://parts-sales.ru/parts/MAN/81981836420","l-штекер L-SN12-U6-D10-CUZN/232/203")</f>
        <v>l-штекер L-SN12-U6-D10-CUZN/232/203</v>
      </c>
      <c r="C4335" s="5" t="s">
        <v>41</v>
      </c>
      <c r="D4335" s="6">
        <v>6327.5999999999995</v>
      </c>
      <c r="E4335" s="6">
        <v>127</v>
      </c>
      <c r="F4335" s="9">
        <v>0.98</v>
      </c>
      <c r="H4335" s="11"/>
      <c r="I4335" s="11"/>
      <c r="J4335" s="11"/>
    </row>
    <row r="4336" spans="1:10" ht="15.75" x14ac:dyDescent="0.3">
      <c r="A4336" s="12" t="str">
        <f>HYPERLINK("https://parts-sales.ru/parts/MAN/06712309112","06.71230-9112")</f>
        <v>06.71230-9112</v>
      </c>
      <c r="B4336" s="12" t="str">
        <f>HYPERLINK("https://parts-sales.ru/parts/MAN/06712309112","Угл. соед. настраив. штуцер LL16")</f>
        <v>Угл. соед. настраив. штуцер LL16</v>
      </c>
      <c r="C4336" s="3" t="s">
        <v>6</v>
      </c>
      <c r="D4336" s="4">
        <v>6897.5999999999995</v>
      </c>
      <c r="E4336" s="4">
        <v>138</v>
      </c>
      <c r="F4336" s="8">
        <v>0.98</v>
      </c>
      <c r="H4336" s="11"/>
      <c r="I4336" s="11"/>
      <c r="J4336" s="11"/>
    </row>
    <row r="4337" spans="1:10" ht="15.75" x14ac:dyDescent="0.3">
      <c r="A4337" s="13" t="str">
        <f>HYPERLINK("https://parts-sales.ru/parts/MAN/81411050592","81.41105-0592")</f>
        <v>81.41105-0592</v>
      </c>
      <c r="B4337" s="13" t="str">
        <f>HYPERLINK("https://parts-sales.ru/parts/MAN/81411050592","Усиление рамы")</f>
        <v>Усиление рамы</v>
      </c>
      <c r="C4337" s="5" t="s">
        <v>32</v>
      </c>
      <c r="D4337" s="6">
        <v>14809.199999999999</v>
      </c>
      <c r="E4337" s="6">
        <v>263</v>
      </c>
      <c r="F4337" s="9">
        <v>0.98</v>
      </c>
      <c r="H4337" s="11"/>
      <c r="I4337" s="11"/>
      <c r="J4337" s="11"/>
    </row>
    <row r="4338" spans="1:10" ht="15.75" x14ac:dyDescent="0.3">
      <c r="A4338" s="12" t="str">
        <f>HYPERLINK("https://parts-sales.ru/parts/MAN/81411050623","81.41105-0623")</f>
        <v>81.41105-0623</v>
      </c>
      <c r="B4338" s="12" t="str">
        <f>HYPERLINK("https://parts-sales.ru/parts/MAN/81411050623","Усиление рамы")</f>
        <v>Усиление рамы</v>
      </c>
      <c r="C4338" s="3" t="s">
        <v>32</v>
      </c>
      <c r="D4338" s="4">
        <v>35913.599999999999</v>
      </c>
      <c r="E4338" s="4">
        <v>614</v>
      </c>
      <c r="F4338" s="8">
        <v>0.98</v>
      </c>
      <c r="H4338" s="11"/>
      <c r="I4338" s="11"/>
      <c r="J4338" s="11"/>
    </row>
    <row r="4339" spans="1:10" ht="15.75" x14ac:dyDescent="0.3">
      <c r="A4339" s="13" t="str">
        <f>HYPERLINK("https://parts-sales.ru/parts/MAN/81411050624","81.41105-0624")</f>
        <v>81.41105-0624</v>
      </c>
      <c r="B4339" s="13" t="str">
        <f>HYPERLINK("https://parts-sales.ru/parts/MAN/81411050624","Усиление рамы")</f>
        <v>Усиление рамы</v>
      </c>
      <c r="C4339" s="5" t="s">
        <v>32</v>
      </c>
      <c r="D4339" s="6">
        <v>35941.199999999997</v>
      </c>
      <c r="E4339" s="6">
        <v>614</v>
      </c>
      <c r="F4339" s="9">
        <v>0.98</v>
      </c>
      <c r="H4339" s="11"/>
      <c r="I4339" s="11"/>
      <c r="J4339" s="11"/>
    </row>
    <row r="4340" spans="1:10" ht="15.75" x14ac:dyDescent="0.3">
      <c r="A4340" s="12" t="str">
        <f>HYPERLINK("https://parts-sales.ru/parts/MAN/81416100932","81.41610-0932")</f>
        <v>81.41610-0932</v>
      </c>
      <c r="B4340" s="12" t="str">
        <f>HYPERLINK("https://parts-sales.ru/parts/MAN/81416100932","Заслонка Заслонка (огр-тель обзорности)")</f>
        <v>Заслонка Заслонка (огр-тель обзорности)</v>
      </c>
      <c r="C4340" s="3" t="s">
        <v>32</v>
      </c>
      <c r="D4340" s="4">
        <v>10610.4</v>
      </c>
      <c r="E4340" s="4">
        <v>135</v>
      </c>
      <c r="F4340" s="8">
        <v>0.99</v>
      </c>
      <c r="H4340" s="11"/>
      <c r="I4340" s="11"/>
      <c r="J4340" s="11"/>
    </row>
    <row r="4341" spans="1:10" ht="15.75" x14ac:dyDescent="0.3">
      <c r="A4341" s="13" t="str">
        <f>HYPERLINK("https://parts-sales.ru/parts/MAN/51081009305","51.08100-9305")</f>
        <v>51.08100-9305</v>
      </c>
      <c r="B4341" s="13" t="str">
        <f>HYPERLINK("https://parts-sales.ru/parts/MAN/51081009305","Модуль рецир-ции отраб. газов")</f>
        <v>Модуль рецир-ции отраб. газов</v>
      </c>
      <c r="C4341" s="5" t="s">
        <v>17</v>
      </c>
      <c r="D4341" s="6">
        <v>304024</v>
      </c>
      <c r="E4341" s="6">
        <v>209672</v>
      </c>
      <c r="F4341" s="9">
        <v>0.31</v>
      </c>
      <c r="H4341" s="11"/>
      <c r="I4341" s="11"/>
      <c r="J4341" s="11"/>
    </row>
    <row r="4342" spans="1:10" ht="15.75" x14ac:dyDescent="0.3">
      <c r="A4342" s="12" t="str">
        <f>HYPERLINK("https://parts-sales.ru/parts/MAN/51111039858","51.11103-9858")</f>
        <v>51.11103-9858</v>
      </c>
      <c r="B4342" s="12" t="str">
        <f>HYPERLINK("https://parts-sales.ru/parts/MAN/51111039858","Топлив. насос высок. давления")</f>
        <v>Топлив. насос высок. давления</v>
      </c>
      <c r="C4342" s="3" t="s">
        <v>17</v>
      </c>
      <c r="D4342" s="4">
        <v>230827</v>
      </c>
      <c r="E4342" s="4">
        <v>136800</v>
      </c>
      <c r="F4342" s="8">
        <v>0.41</v>
      </c>
      <c r="H4342" s="11"/>
      <c r="I4342" s="11"/>
      <c r="J4342" s="11"/>
    </row>
    <row r="4343" spans="1:10" ht="15.75" x14ac:dyDescent="0.3">
      <c r="A4343" s="13" t="str">
        <f>HYPERLINK("https://parts-sales.ru/parts/MAN/51541007246","51.54100-7246")</f>
        <v>51.54100-7246</v>
      </c>
      <c r="B4343" s="13" t="str">
        <f>HYPERLINK("https://parts-sales.ru/parts/MAN/51541007246","Компрессор 1-цилиндровый компрессор")</f>
        <v>Компрессор 1-цилиндровый компрессор</v>
      </c>
      <c r="C4343" s="5" t="s">
        <v>17</v>
      </c>
      <c r="D4343" s="6">
        <v>230314</v>
      </c>
      <c r="E4343" s="6">
        <v>158837</v>
      </c>
      <c r="F4343" s="9">
        <v>0.31</v>
      </c>
      <c r="H4343" s="11"/>
      <c r="I4343" s="11"/>
      <c r="J4343" s="11"/>
    </row>
    <row r="4344" spans="1:10" ht="15.75" x14ac:dyDescent="0.3">
      <c r="A4344" s="12" t="str">
        <f>HYPERLINK("https://parts-sales.ru/parts/MAN/51025006329","51.02500-6329")</f>
        <v>51.02500-6329</v>
      </c>
      <c r="B4344" s="12" t="str">
        <f>HYPERLINK("https://parts-sales.ru/parts/MAN/51025006329","Комплект поршней двигателя")</f>
        <v>Комплект поршней двигателя</v>
      </c>
      <c r="C4344" s="3" t="s">
        <v>17</v>
      </c>
      <c r="D4344" s="4">
        <v>180977</v>
      </c>
      <c r="E4344" s="4">
        <v>124812</v>
      </c>
      <c r="F4344" s="8">
        <v>0.31</v>
      </c>
      <c r="H4344" s="11"/>
      <c r="I4344" s="11"/>
      <c r="J4344" s="11"/>
    </row>
    <row r="4345" spans="1:10" ht="15.75" x14ac:dyDescent="0.3">
      <c r="A4345" s="13" t="str">
        <f>HYPERLINK("https://parts-sales.ru/parts/MAN/51065007089","51.06500-7089")</f>
        <v>51.06500-7089</v>
      </c>
      <c r="B4345" s="13" t="str">
        <f>HYPERLINK("https://parts-sales.ru/parts/MAN/51065007089","охлаждающий насос")</f>
        <v>охлаждающий насос</v>
      </c>
      <c r="C4345" s="5" t="s">
        <v>17</v>
      </c>
      <c r="D4345" s="6">
        <v>87000</v>
      </c>
      <c r="E4345" s="6">
        <v>60000</v>
      </c>
      <c r="F4345" s="9">
        <v>0.31</v>
      </c>
      <c r="H4345" s="11"/>
      <c r="I4345" s="11"/>
      <c r="J4345" s="11"/>
    </row>
    <row r="4346" spans="1:10" ht="15.75" x14ac:dyDescent="0.3">
      <c r="A4346" s="12" t="str">
        <f>HYPERLINK("https://parts-sales.ru/parts/MAN/51091019025","51.09101-9025")</f>
        <v>51.09101-9025</v>
      </c>
      <c r="B4346" s="12" t="str">
        <f>HYPERLINK("https://parts-sales.ru/parts/MAN/51091019025","Турбонагнетатель выхл. газов")</f>
        <v>Турбонагнетатель выхл. газов</v>
      </c>
      <c r="C4346" s="3" t="s">
        <v>17</v>
      </c>
      <c r="D4346" s="4">
        <v>76560</v>
      </c>
      <c r="E4346" s="4">
        <v>47520</v>
      </c>
      <c r="F4346" s="8">
        <v>0.38</v>
      </c>
      <c r="H4346" s="11"/>
      <c r="I4346" s="11"/>
      <c r="J4346" s="11"/>
    </row>
    <row r="4347" spans="1:10" ht="15.75" x14ac:dyDescent="0.3">
      <c r="A4347" s="13" t="str">
        <f>HYPERLINK("https://parts-sales.ru/parts/MAN/51025006315","51.02500-6315")</f>
        <v>51.02500-6315</v>
      </c>
      <c r="B4347" s="13" t="str">
        <f>HYPERLINK("https://parts-sales.ru/parts/MAN/51025006315","Комплект поршней двигателя")</f>
        <v>Комплект поршней двигателя</v>
      </c>
      <c r="C4347" s="5" t="s">
        <v>17</v>
      </c>
      <c r="D4347" s="6">
        <v>76021</v>
      </c>
      <c r="E4347" s="6">
        <v>52428</v>
      </c>
      <c r="F4347" s="9">
        <v>0.31</v>
      </c>
      <c r="H4347" s="11"/>
      <c r="I4347" s="11"/>
      <c r="J4347" s="11"/>
    </row>
    <row r="4348" spans="1:10" ht="15.75" x14ac:dyDescent="0.3">
      <c r="A4348" s="12" t="str">
        <f>HYPERLINK("https://parts-sales.ru/parts/MAN/51101009181","51.10100-9181")</f>
        <v>51.10100-9181</v>
      </c>
      <c r="B4348" s="12" t="str">
        <f>HYPERLINK("https://parts-sales.ru/parts/MAN/51101009181","инжектор")</f>
        <v>инжектор</v>
      </c>
      <c r="C4348" s="3" t="s">
        <v>17</v>
      </c>
      <c r="D4348" s="4">
        <v>59334</v>
      </c>
      <c r="E4348" s="4">
        <v>25365</v>
      </c>
      <c r="F4348" s="8">
        <v>0.56999999999999995</v>
      </c>
      <c r="H4348" s="11"/>
      <c r="I4348" s="11"/>
      <c r="J4348" s="11"/>
    </row>
    <row r="4349" spans="1:10" ht="15.75" x14ac:dyDescent="0.3">
      <c r="A4349" s="13" t="str">
        <f>HYPERLINK("https://parts-sales.ru/parts/MAN/51025006298","51.02500-6298")</f>
        <v>51.02500-6298</v>
      </c>
      <c r="B4349" s="13" t="str">
        <f>HYPERLINK("https://parts-sales.ru/parts/MAN/51025006298","поршень")</f>
        <v>поршень</v>
      </c>
      <c r="C4349" s="5" t="s">
        <v>17</v>
      </c>
      <c r="D4349" s="6">
        <v>50750</v>
      </c>
      <c r="E4349" s="6">
        <v>31079</v>
      </c>
      <c r="F4349" s="9">
        <v>0.39</v>
      </c>
      <c r="H4349" s="11"/>
      <c r="I4349" s="11"/>
      <c r="J4349" s="11"/>
    </row>
    <row r="4350" spans="1:10" ht="15.75" x14ac:dyDescent="0.3">
      <c r="A4350" s="12" t="str">
        <f>HYPERLINK("https://parts-sales.ru/parts/MAN/51125030042","51.12503-0042")</f>
        <v>51.12503-0042</v>
      </c>
      <c r="B4350" s="12" t="str">
        <f>HYPERLINK("https://parts-sales.ru/parts/MAN/51125030042","Сменный эл. топлив.фильтра")</f>
        <v>Сменный эл. топлив.фильтра</v>
      </c>
      <c r="C4350" s="3" t="s">
        <v>17</v>
      </c>
      <c r="D4350" s="4">
        <v>2614</v>
      </c>
      <c r="E4350" s="4">
        <v>1803</v>
      </c>
      <c r="F4350" s="8">
        <v>0.31</v>
      </c>
      <c r="H4350" s="11"/>
      <c r="I4350" s="11"/>
      <c r="J4350" s="11"/>
    </row>
    <row r="4351" spans="1:10" ht="15.75" x14ac:dyDescent="0.3">
      <c r="A4351" s="13" t="str">
        <f>HYPERLINK("https://parts-sales.ru/parts/MAN/81326556313","81.32655-6313")</f>
        <v>81.32655-6313</v>
      </c>
      <c r="B4351" s="13" t="str">
        <f>HYPERLINK("https://parts-sales.ru/parts/MAN/81326556313","Тр перекл")</f>
        <v>Тр перекл</v>
      </c>
      <c r="C4351" s="5" t="s">
        <v>45</v>
      </c>
      <c r="D4351" s="6">
        <v>43863</v>
      </c>
      <c r="E4351" s="6">
        <v>27225</v>
      </c>
      <c r="F4351" s="9">
        <v>0.38</v>
      </c>
      <c r="H4351" s="11"/>
      <c r="I4351" s="11"/>
      <c r="J4351" s="11"/>
    </row>
    <row r="4352" spans="1:10" ht="15.75" x14ac:dyDescent="0.3">
      <c r="A4352" s="12" t="str">
        <f>HYPERLINK("https://parts-sales.ru/parts/MAN/81303050254","81.30305-0254")</f>
        <v>81.30305-0254</v>
      </c>
      <c r="B4352" s="12" t="str">
        <f>HYPERLINK("https://parts-sales.ru/parts/MAN/81303050254","Корзина сцепления")</f>
        <v>Корзина сцепления</v>
      </c>
      <c r="C4352" s="3" t="s">
        <v>45</v>
      </c>
      <c r="D4352" s="4">
        <v>120768</v>
      </c>
      <c r="E4352" s="4">
        <v>83288</v>
      </c>
      <c r="F4352" s="8">
        <v>0.31</v>
      </c>
      <c r="H4352" s="11"/>
      <c r="I4352" s="11"/>
      <c r="J4352" s="11"/>
    </row>
    <row r="4353" spans="1:10" ht="15.75" x14ac:dyDescent="0.3">
      <c r="A4353" s="13" t="str">
        <f>HYPERLINK("https://parts-sales.ru/parts/MAN/81300059028","81.30005-9028")</f>
        <v>81.30005-9028</v>
      </c>
      <c r="B4353" s="13" t="str">
        <f>HYPERLINK("https://parts-sales.ru/parts/MAN/81300059028","Комплект сцепления")</f>
        <v>Комплект сцепления</v>
      </c>
      <c r="C4353" s="5" t="s">
        <v>45</v>
      </c>
      <c r="D4353" s="6">
        <v>221679</v>
      </c>
      <c r="E4353" s="6">
        <v>137594</v>
      </c>
      <c r="F4353" s="9">
        <v>0.38</v>
      </c>
      <c r="H4353" s="11"/>
      <c r="I4353" s="11"/>
      <c r="J4353" s="11"/>
    </row>
    <row r="4354" spans="1:10" ht="15.75" x14ac:dyDescent="0.3">
      <c r="A4354" s="12" t="str">
        <f>HYPERLINK("https://parts-sales.ru/parts/MAN/81300059027","81.30005-9027")</f>
        <v>81.30005-9027</v>
      </c>
      <c r="B4354" s="12" t="str">
        <f>HYPERLINK("https://parts-sales.ru/parts/MAN/81300059027","Комплект сцепления")</f>
        <v>Комплект сцепления</v>
      </c>
      <c r="C4354" s="3" t="s">
        <v>45</v>
      </c>
      <c r="D4354" s="4">
        <v>164239</v>
      </c>
      <c r="E4354" s="4">
        <v>84818</v>
      </c>
      <c r="F4354" s="8">
        <v>0.48</v>
      </c>
      <c r="H4354" s="11"/>
      <c r="I4354" s="11"/>
      <c r="J4354" s="11"/>
    </row>
    <row r="4355" spans="1:10" ht="15.75" x14ac:dyDescent="0.3">
      <c r="A4355" s="13" t="str">
        <f>HYPERLINK("https://parts-sales.ru/parts/MAN/81303010740","81.30301-0740")</f>
        <v>81.30301-0740</v>
      </c>
      <c r="B4355" s="13" t="str">
        <f>HYPERLINK("https://parts-sales.ru/parts/MAN/81303010740","Диск сцепления 430/254 BELAG F510 BIS 23")</f>
        <v>Диск сцепления 430/254 BELAG F510 BIS 23</v>
      </c>
      <c r="C4355" s="5" t="s">
        <v>45</v>
      </c>
      <c r="D4355" s="6">
        <v>172260</v>
      </c>
      <c r="E4355" s="6">
        <v>118800</v>
      </c>
      <c r="F4355" s="9">
        <v>0.31</v>
      </c>
      <c r="H4355" s="11"/>
      <c r="I4355" s="11"/>
      <c r="J4355" s="11"/>
    </row>
    <row r="4356" spans="1:10" ht="15.75" x14ac:dyDescent="0.3">
      <c r="A4356" s="12" t="str">
        <f>HYPERLINK("https://parts-sales.ru/parts/MAN/81322020105","81.32202-0105")</f>
        <v>81.32202-0105</v>
      </c>
      <c r="B4356" s="12" t="str">
        <f>HYPERLINK("https://parts-sales.ru/parts/MAN/81322020105","Главный вал")</f>
        <v>Главный вал</v>
      </c>
      <c r="C4356" s="3" t="s">
        <v>45</v>
      </c>
      <c r="D4356" s="4">
        <v>120421</v>
      </c>
      <c r="E4356" s="4">
        <v>36091</v>
      </c>
      <c r="F4356" s="8">
        <v>0.7</v>
      </c>
      <c r="H4356" s="11"/>
      <c r="I4356" s="11"/>
      <c r="J4356" s="11"/>
    </row>
    <row r="4357" spans="1:10" ht="15.75" x14ac:dyDescent="0.3">
      <c r="A4357" s="13" t="str">
        <f>HYPERLINK("https://parts-sales.ru/parts/MAN/81434026648","81.43402-6648")</f>
        <v>81.43402-6648</v>
      </c>
      <c r="B4357" s="13" t="str">
        <f>HYPERLINK("https://parts-sales.ru/parts/MAN/81434026648","Трапециевидная пружина 2X16T")</f>
        <v>Трапециевидная пружина 2X16T</v>
      </c>
      <c r="C4357" s="5" t="s">
        <v>46</v>
      </c>
      <c r="D4357" s="6">
        <v>248820</v>
      </c>
      <c r="E4357" s="6">
        <v>94426</v>
      </c>
      <c r="F4357" s="9">
        <v>0.62</v>
      </c>
      <c r="H4357" s="11"/>
      <c r="I4357" s="11"/>
      <c r="J4357" s="11"/>
    </row>
    <row r="4358" spans="1:10" ht="15.75" x14ac:dyDescent="0.3">
      <c r="A4358" s="12" t="str">
        <f>HYPERLINK("https://parts-sales.ru/parts/MAN/81434026310","81.43402-6310")</f>
        <v>81.43402-6310</v>
      </c>
      <c r="B4358" s="12" t="str">
        <f>HYPERLINK("https://parts-sales.ru/parts/MAN/81434026310","параболическая рессора 9.5T")</f>
        <v>параболическая рессора 9.5T</v>
      </c>
      <c r="C4358" s="3" t="s">
        <v>46</v>
      </c>
      <c r="D4358" s="4">
        <v>114840</v>
      </c>
      <c r="E4358" s="4">
        <v>71280</v>
      </c>
      <c r="F4358" s="8">
        <v>0.38</v>
      </c>
      <c r="H4358" s="11"/>
      <c r="I4358" s="11"/>
      <c r="J4358" s="11"/>
    </row>
    <row r="4359" spans="1:10" ht="15.75" x14ac:dyDescent="0.3">
      <c r="A4359" s="13" t="str">
        <f>HYPERLINK("https://parts-sales.ru/parts/MAN/81434026331","81.43402-6331")</f>
        <v>81.43402-6331</v>
      </c>
      <c r="B4359" s="13" t="str">
        <f>HYPERLINK("https://parts-sales.ru/parts/MAN/81434026331","параболическая рессора 9,5T 3-Blatt")</f>
        <v>параболическая рессора 9,5T 3-Blatt</v>
      </c>
      <c r="C4359" s="5" t="s">
        <v>46</v>
      </c>
      <c r="D4359" s="6">
        <v>104604</v>
      </c>
      <c r="E4359" s="6">
        <v>72141</v>
      </c>
      <c r="F4359" s="9">
        <v>0.31</v>
      </c>
      <c r="H4359" s="11"/>
      <c r="I4359" s="11"/>
      <c r="J4359" s="11"/>
    </row>
    <row r="4360" spans="1:10" ht="15.75" x14ac:dyDescent="0.3">
      <c r="A4360" s="12" t="str">
        <f>HYPERLINK("https://parts-sales.ru/parts/MAN/81436006095","81.43600-6095")</f>
        <v>81.43600-6095</v>
      </c>
      <c r="B4360" s="12" t="str">
        <f>HYPERLINK("https://parts-sales.ru/parts/MAN/81436006095","Пневморессора 81.43600-6066")</f>
        <v>Пневморессора 81.43600-6066</v>
      </c>
      <c r="C4360" s="3" t="s">
        <v>46</v>
      </c>
      <c r="D4360" s="4">
        <v>42108</v>
      </c>
      <c r="E4360" s="4">
        <v>26136</v>
      </c>
      <c r="F4360" s="8">
        <v>0.38</v>
      </c>
      <c r="H4360" s="11"/>
      <c r="I4360" s="11"/>
      <c r="J4360" s="11"/>
    </row>
    <row r="4361" spans="1:10" ht="15.75" x14ac:dyDescent="0.3">
      <c r="A4361" s="13" t="str">
        <f>HYPERLINK("https://parts-sales.ru/parts/MAN/81437026150","81.43702-6150")</f>
        <v>81.43702-6150</v>
      </c>
      <c r="B4361" s="13" t="str">
        <f>HYPERLINK("https://parts-sales.ru/parts/MAN/81437026150","Амортизатор подвески задний")</f>
        <v>Амортизатор подвески задний</v>
      </c>
      <c r="C4361" s="5" t="s">
        <v>46</v>
      </c>
      <c r="D4361" s="6">
        <v>28501</v>
      </c>
      <c r="E4361" s="6">
        <v>19656</v>
      </c>
      <c r="F4361" s="9">
        <v>0.31</v>
      </c>
      <c r="H4361" s="11"/>
      <c r="I4361" s="11"/>
      <c r="J4361" s="11"/>
    </row>
    <row r="4362" spans="1:10" ht="15.75" x14ac:dyDescent="0.3">
      <c r="A4362" s="12" t="str">
        <f>HYPERLINK("https://parts-sales.ru/parts/MAN/81437026017","81.43702-6017")</f>
        <v>81.43702-6017</v>
      </c>
      <c r="B4362" s="12" t="str">
        <f>HYPERLINK("https://parts-sales.ru/parts/MAN/81437026017","Амортизатор")</f>
        <v>Амортизатор</v>
      </c>
      <c r="C4362" s="3" t="s">
        <v>46</v>
      </c>
      <c r="D4362" s="4">
        <v>40655</v>
      </c>
      <c r="E4362" s="4">
        <v>21926</v>
      </c>
      <c r="F4362" s="8">
        <v>0.46</v>
      </c>
      <c r="H4362" s="11"/>
      <c r="I4362" s="11"/>
      <c r="J4362" s="11"/>
    </row>
    <row r="4363" spans="1:10" ht="15.75" x14ac:dyDescent="0.3">
      <c r="A4363" s="13" t="str">
        <f>HYPERLINK("https://parts-sales.ru/parts/MAN/81437220087","81.43722-0087")</f>
        <v>81.43722-0087</v>
      </c>
      <c r="B4363" s="13" t="str">
        <f>HYPERLINK("https://parts-sales.ru/parts/MAN/81437220087","Втулка опоры передней рессоры")</f>
        <v>Втулка опоры передней рессоры</v>
      </c>
      <c r="C4363" s="5" t="s">
        <v>46</v>
      </c>
      <c r="D4363" s="6">
        <v>8338</v>
      </c>
      <c r="E4363" s="6">
        <v>2226</v>
      </c>
      <c r="F4363" s="9">
        <v>0.73</v>
      </c>
      <c r="H4363" s="11"/>
      <c r="I4363" s="11"/>
      <c r="J4363" s="11"/>
    </row>
    <row r="4364" spans="1:10" ht="15.75" x14ac:dyDescent="0.3">
      <c r="A4364" s="12" t="str">
        <f>HYPERLINK("https://parts-sales.ru/parts/MAN/81615100883","81.61510-0883")</f>
        <v>81.61510-0883</v>
      </c>
      <c r="B4364" s="12" t="str">
        <f>HYPERLINK("https://parts-sales.ru/parts/MAN/81615100883","передняя часть крыла серый")</f>
        <v>передняя часть крыла серый</v>
      </c>
      <c r="C4364" s="3" t="s">
        <v>47</v>
      </c>
      <c r="D4364" s="4">
        <v>105270</v>
      </c>
      <c r="E4364" s="4">
        <v>72600</v>
      </c>
      <c r="F4364" s="8">
        <v>0.31</v>
      </c>
      <c r="H4364" s="11"/>
      <c r="I4364" s="11"/>
      <c r="J4364" s="11"/>
    </row>
    <row r="4365" spans="1:10" ht="15.75" x14ac:dyDescent="0.3">
      <c r="A4365" s="13" t="str">
        <f>HYPERLINK("https://parts-sales.ru/parts/MAN/81625304367","81.62530-4367")</f>
        <v>81.62530-4367</v>
      </c>
      <c r="B4365" s="13" t="str">
        <f>HYPERLINK("https://parts-sales.ru/parts/MAN/81625304367","Боковая стенка F99L/R10-47")</f>
        <v>Боковая стенка F99L/R10-47</v>
      </c>
      <c r="C4365" s="5" t="s">
        <v>47</v>
      </c>
      <c r="D4365" s="6">
        <v>23877</v>
      </c>
      <c r="E4365" s="6">
        <v>16467</v>
      </c>
      <c r="F4365" s="9">
        <v>0.31</v>
      </c>
      <c r="H4365" s="11"/>
      <c r="I4365" s="11"/>
      <c r="J4365" s="11"/>
    </row>
    <row r="4366" spans="1:10" ht="15.75" x14ac:dyDescent="0.3">
      <c r="A4366" s="12" t="str">
        <f>HYPERLINK("https://parts-sales.ru/parts/MAN/81628610138","81.62861-0138")</f>
        <v>81.62861-0138</v>
      </c>
      <c r="B4366" s="12" t="str">
        <f>HYPERLINK("https://parts-sales.ru/parts/MAN/81628610138","pезиновый ковpик R41/40")</f>
        <v>pезиновый ковpик R41/40</v>
      </c>
      <c r="C4366" s="3" t="s">
        <v>47</v>
      </c>
      <c r="D4366" s="4">
        <v>1914</v>
      </c>
      <c r="E4366" s="4">
        <v>1320</v>
      </c>
      <c r="F4366" s="8">
        <v>0.31</v>
      </c>
      <c r="H4366" s="11"/>
      <c r="I4366" s="11"/>
      <c r="J4366" s="11"/>
    </row>
    <row r="4367" spans="1:10" ht="15.75" x14ac:dyDescent="0.3">
      <c r="A4367" s="13" t="str">
        <f>HYPERLINK("https://parts-sales.ru/parts/MAN/81628610139","81.62861-0139")</f>
        <v>81.62861-0139</v>
      </c>
      <c r="B4367" s="13" t="str">
        <f>HYPERLINK("https://parts-sales.ru/parts/MAN/81628610139","pезиновый ковpик R41/L40")</f>
        <v>pезиновый ковpик R41/L40</v>
      </c>
      <c r="C4367" s="5" t="s">
        <v>47</v>
      </c>
      <c r="D4367" s="6">
        <v>1914</v>
      </c>
      <c r="E4367" s="6">
        <v>1320</v>
      </c>
      <c r="F4367" s="9">
        <v>0.31</v>
      </c>
      <c r="H4367" s="11"/>
      <c r="I4367" s="11"/>
      <c r="J4367" s="11"/>
    </row>
    <row r="4368" spans="1:10" ht="15.75" x14ac:dyDescent="0.3">
      <c r="A4368" s="12" t="str">
        <f>HYPERLINK("https://parts-sales.ru/parts/MAN/81332150014","81.33215-0014")</f>
        <v>81.33215-0014</v>
      </c>
      <c r="B4368" s="12" t="str">
        <f>HYPERLINK("https://parts-sales.ru/parts/MAN/81332150014","элемент масляного фильтра")</f>
        <v>элемент масляного фильтра</v>
      </c>
      <c r="C4368" s="3" t="s">
        <v>48</v>
      </c>
      <c r="D4368" s="4">
        <v>4785</v>
      </c>
      <c r="E4368" s="4">
        <v>2631</v>
      </c>
      <c r="F4368" s="8">
        <v>0.45</v>
      </c>
      <c r="H4368" s="11"/>
      <c r="I4368" s="11"/>
      <c r="J4368" s="11"/>
    </row>
    <row r="4369" spans="1:10" ht="15.75" x14ac:dyDescent="0.3">
      <c r="A4369" s="13" t="str">
        <f>HYPERLINK("https://parts-sales.ru/parts/MAN/81391150207","81.39115-0207")</f>
        <v>81.39115-0207</v>
      </c>
      <c r="B4369" s="13" t="str">
        <f>HYPERLINK("https://parts-sales.ru/parts/MAN/81391150207","Поводковый фланец 155MM")</f>
        <v>Поводковый фланец 155MM</v>
      </c>
      <c r="C4369" s="5" t="s">
        <v>48</v>
      </c>
      <c r="D4369" s="6">
        <v>37323</v>
      </c>
      <c r="E4369" s="6">
        <v>20546</v>
      </c>
      <c r="F4369" s="9">
        <v>0.45</v>
      </c>
      <c r="H4369" s="11"/>
      <c r="I4369" s="11"/>
      <c r="J4369" s="11"/>
    </row>
    <row r="4370" spans="1:10" ht="15.75" x14ac:dyDescent="0.3">
      <c r="A4370" s="12" t="str">
        <f>HYPERLINK("https://parts-sales.ru/parts/MAN/81391155106","81.39115-5106")</f>
        <v>81.39115-5106</v>
      </c>
      <c r="B4370" s="12" t="str">
        <f>HYPERLINK("https://parts-sales.ru/parts/MAN/81391155106","полумуфты 150MM")</f>
        <v>полумуфты 150MM</v>
      </c>
      <c r="C4370" s="3" t="s">
        <v>48</v>
      </c>
      <c r="D4370" s="4">
        <v>32538</v>
      </c>
      <c r="E4370" s="4">
        <v>10710</v>
      </c>
      <c r="F4370" s="8">
        <v>0.67</v>
      </c>
      <c r="H4370" s="11"/>
      <c r="I4370" s="11"/>
      <c r="J4370" s="11"/>
    </row>
    <row r="4371" spans="1:10" ht="15.75" x14ac:dyDescent="0.3">
      <c r="A4371" s="13" t="str">
        <f>HYPERLINK("https://parts-sales.ru/parts/MAN/81391155122","81.39115-5122")</f>
        <v>81.39115-5122</v>
      </c>
      <c r="B4371" s="13" t="str">
        <f>HYPERLINK("https://parts-sales.ru/parts/MAN/81391155122","Поводковый фланец KV155")</f>
        <v>Поводковый фланец KV155</v>
      </c>
      <c r="C4371" s="5" t="s">
        <v>48</v>
      </c>
      <c r="D4371" s="6">
        <v>45936</v>
      </c>
      <c r="E4371" s="6">
        <v>31680</v>
      </c>
      <c r="F4371" s="9">
        <v>0.31</v>
      </c>
      <c r="H4371" s="11"/>
      <c r="I4371" s="11"/>
      <c r="J4371" s="11"/>
    </row>
    <row r="4372" spans="1:10" ht="15.75" x14ac:dyDescent="0.3">
      <c r="A4372" s="12" t="str">
        <f>HYPERLINK("https://parts-sales.ru/parts/MAN/81391266036","81.39126-6036")</f>
        <v>81.39126-6036</v>
      </c>
      <c r="B4372" s="12" t="str">
        <f>HYPERLINK("https://parts-sales.ru/parts/MAN/81391266036","крестовина карданного вала")</f>
        <v>крестовина карданного вала</v>
      </c>
      <c r="C4372" s="3" t="s">
        <v>48</v>
      </c>
      <c r="D4372" s="4">
        <v>20644</v>
      </c>
      <c r="E4372" s="4">
        <v>5570</v>
      </c>
      <c r="F4372" s="8">
        <v>0.73</v>
      </c>
      <c r="H4372" s="11"/>
      <c r="I4372" s="11"/>
      <c r="J4372" s="11"/>
    </row>
    <row r="4373" spans="1:10" ht="15.75" x14ac:dyDescent="0.3">
      <c r="A4373" s="13" t="str">
        <f>HYPERLINK("https://parts-sales.ru/parts/MAN/81501100144","81.50110-0144")</f>
        <v>81.50110-0144</v>
      </c>
      <c r="B4373" s="13" t="str">
        <f>HYPERLINK("https://parts-sales.ru/parts/MAN/81501100144","Тормозной барабан 410X220")</f>
        <v>Тормозной барабан 410X220</v>
      </c>
      <c r="C4373" s="5" t="s">
        <v>49</v>
      </c>
      <c r="D4373" s="6">
        <v>48739</v>
      </c>
      <c r="E4373" s="6">
        <v>21779</v>
      </c>
      <c r="F4373" s="9">
        <v>0.55000000000000004</v>
      </c>
      <c r="H4373" s="11"/>
      <c r="I4373" s="11"/>
      <c r="J4373" s="11"/>
    </row>
    <row r="4374" spans="1:10" ht="15.75" x14ac:dyDescent="0.3">
      <c r="A4374" s="12" t="str">
        <f>HYPERLINK("https://parts-sales.ru/parts/MAN/81506106261","81.50610-6261")</f>
        <v>81.50610-6261</v>
      </c>
      <c r="B4374" s="12" t="str">
        <f>HYPERLINK("https://parts-sales.ru/parts/MAN/81506106261","Исполнит. элемент рыч. мех-ма слева")</f>
        <v>Исполнит. элемент рыч. мех-ма слева</v>
      </c>
      <c r="C4374" s="3" t="s">
        <v>49</v>
      </c>
      <c r="D4374" s="4">
        <v>30554</v>
      </c>
      <c r="E4374" s="4">
        <v>21072</v>
      </c>
      <c r="F4374" s="8">
        <v>0.31</v>
      </c>
      <c r="H4374" s="11"/>
      <c r="I4374" s="11"/>
      <c r="J4374" s="11"/>
    </row>
    <row r="4375" spans="1:10" ht="15.75" x14ac:dyDescent="0.3">
      <c r="A4375" s="13" t="str">
        <f>HYPERLINK("https://parts-sales.ru/parts/MAN/81502216155","81.50221-6155")</f>
        <v>81.50221-6155</v>
      </c>
      <c r="B4375" s="13" t="str">
        <f>HYPERLINK("https://parts-sales.ru/parts/MAN/81502216155","Комплект тормозных колодок")</f>
        <v>Комплект тормозных колодок</v>
      </c>
      <c r="C4375" s="5" t="s">
        <v>49</v>
      </c>
      <c r="D4375" s="6">
        <v>27966</v>
      </c>
      <c r="E4375" s="6">
        <v>19287</v>
      </c>
      <c r="F4375" s="9">
        <v>0.31</v>
      </c>
      <c r="H4375" s="11"/>
      <c r="I4375" s="11"/>
      <c r="J4375" s="11"/>
    </row>
    <row r="4376" spans="1:10" ht="15.75" x14ac:dyDescent="0.3">
      <c r="A4376" s="12" t="str">
        <f>HYPERLINK("https://parts-sales.ru/parts/MAN/81501100232","81.50110-0232")</f>
        <v>81.50110-0232</v>
      </c>
      <c r="B4376" s="12" t="str">
        <f>HYPERLINK("https://parts-sales.ru/parts/MAN/81501100232","Тормозной барабан 410X180 MM")</f>
        <v>Тормозной барабан 410X180 MM</v>
      </c>
      <c r="C4376" s="3" t="s">
        <v>49</v>
      </c>
      <c r="D4376" s="4">
        <v>27209</v>
      </c>
      <c r="E4376" s="4">
        <v>18765</v>
      </c>
      <c r="F4376" s="8">
        <v>0.31</v>
      </c>
      <c r="H4376" s="11"/>
      <c r="I4376" s="11"/>
      <c r="J4376" s="11"/>
    </row>
    <row r="4377" spans="1:10" ht="15.75" x14ac:dyDescent="0.3">
      <c r="A4377" s="13" t="str">
        <f>HYPERLINK("https://parts-sales.ru/parts/MAN/81502216083","81.50221-6083")</f>
        <v>81.50221-6083</v>
      </c>
      <c r="B4377" s="13" t="str">
        <f>HYPERLINK("https://parts-sales.ru/parts/MAN/81502216083","комплект тормозных накладок 18,8 220 MM-")</f>
        <v>комплект тормозных накладок 18,8 220 MM-</v>
      </c>
      <c r="C4377" s="5" t="s">
        <v>49</v>
      </c>
      <c r="D4377" s="6">
        <v>26109</v>
      </c>
      <c r="E4377" s="6">
        <v>10116</v>
      </c>
      <c r="F4377" s="9">
        <v>0.61</v>
      </c>
      <c r="H4377" s="11"/>
      <c r="I4377" s="11"/>
      <c r="J4377" s="11"/>
    </row>
    <row r="4378" spans="1:10" ht="15.75" x14ac:dyDescent="0.3">
      <c r="A4378" s="12" t="str">
        <f>HYPERLINK("https://parts-sales.ru/parts/MAN/81502216126","81.50221-6126")</f>
        <v>81.50221-6126</v>
      </c>
      <c r="B4378" s="12" t="str">
        <f>HYPERLINK("https://parts-sales.ru/parts/MAN/81502216126","комплект тормозных накладок 18,0 160MM-B")</f>
        <v>комплект тормозных накладок 18,0 160MM-B</v>
      </c>
      <c r="C4378" s="3" t="s">
        <v>49</v>
      </c>
      <c r="D4378" s="4">
        <v>26796</v>
      </c>
      <c r="E4378" s="4">
        <v>16632</v>
      </c>
      <c r="F4378" s="8">
        <v>0.38</v>
      </c>
      <c r="H4378" s="11"/>
      <c r="I4378" s="11"/>
      <c r="J4378" s="11"/>
    </row>
    <row r="4379" spans="1:10" ht="15.75" x14ac:dyDescent="0.3">
      <c r="A4379" s="13" t="str">
        <f>HYPERLINK("https://parts-sales.ru/parts/MAN/81502216147","81.50221-6147")</f>
        <v>81.50221-6147</v>
      </c>
      <c r="B4379" s="13" t="str">
        <f>HYPERLINK("https://parts-sales.ru/parts/MAN/81502216147","комплект тормозных накладок 16,7 220MM-B")</f>
        <v>комплект тормозных накладок 16,7 220MM-B</v>
      </c>
      <c r="C4379" s="5" t="s">
        <v>49</v>
      </c>
      <c r="D4379" s="6">
        <v>25507</v>
      </c>
      <c r="E4379" s="6">
        <v>12612</v>
      </c>
      <c r="F4379" s="9">
        <v>0.51</v>
      </c>
      <c r="H4379" s="11"/>
      <c r="I4379" s="11"/>
      <c r="J4379" s="11"/>
    </row>
    <row r="4380" spans="1:10" ht="15.75" x14ac:dyDescent="0.3">
      <c r="A4380" s="12" t="str">
        <f>HYPERLINK("https://parts-sales.ru/parts/MAN/81502216154","81.50221-6154")</f>
        <v>81.50221-6154</v>
      </c>
      <c r="B4380" s="12" t="str">
        <f>HYPERLINK("https://parts-sales.ru/parts/MAN/81502216154","комплект тормозных накладок 18,0 220MM-B")</f>
        <v>комплект тормозных накладок 18,0 220MM-B</v>
      </c>
      <c r="C4380" s="3" t="s">
        <v>49</v>
      </c>
      <c r="D4380" s="4">
        <v>26796</v>
      </c>
      <c r="E4380" s="4">
        <v>7866</v>
      </c>
      <c r="F4380" s="8">
        <v>0.71</v>
      </c>
      <c r="H4380" s="11"/>
      <c r="I4380" s="11"/>
      <c r="J4380" s="11"/>
    </row>
    <row r="4381" spans="1:10" ht="15.75" x14ac:dyDescent="0.3">
      <c r="A4381" s="13" t="str">
        <f>HYPERLINK("https://parts-sales.ru/parts/MAN/81502216151","81.50221-6151")</f>
        <v>81.50221-6151</v>
      </c>
      <c r="B4381" s="13" t="str">
        <f>HYPERLINK("https://parts-sales.ru/parts/MAN/81502216151","комплект тормозных накладок 16,7 160MM-B")</f>
        <v>комплект тормозных накладок 16,7 160MM-B</v>
      </c>
      <c r="C4381" s="5" t="s">
        <v>49</v>
      </c>
      <c r="D4381" s="6">
        <v>26796</v>
      </c>
      <c r="E4381" s="6">
        <v>18480</v>
      </c>
      <c r="F4381" s="9">
        <v>0.31</v>
      </c>
      <c r="H4381" s="11"/>
      <c r="I4381" s="11"/>
      <c r="J4381" s="11"/>
    </row>
    <row r="4382" spans="1:10" ht="15.75" x14ac:dyDescent="0.3">
      <c r="A4382" s="12" t="str">
        <f>HYPERLINK("https://parts-sales.ru/parts/MAN/81502216153","81.50221-6153")</f>
        <v>81.50221-6153</v>
      </c>
      <c r="B4382" s="12" t="str">
        <f>HYPERLINK("https://parts-sales.ru/parts/MAN/81502216153","комплект тормозных накладок 16,7 180MM-B")</f>
        <v>комплект тормозных накладок 16,7 180MM-B</v>
      </c>
      <c r="C4382" s="3" t="s">
        <v>49</v>
      </c>
      <c r="D4382" s="4">
        <v>26796</v>
      </c>
      <c r="E4382" s="4">
        <v>18480</v>
      </c>
      <c r="F4382" s="8">
        <v>0.31</v>
      </c>
      <c r="H4382" s="11"/>
      <c r="I4382" s="11"/>
      <c r="J4382" s="11"/>
    </row>
    <row r="4383" spans="1:10" ht="15.75" x14ac:dyDescent="0.3">
      <c r="A4383" s="13" t="str">
        <f>HYPERLINK("https://parts-sales.ru/parts/MAN/81502216152","81.50221-6152")</f>
        <v>81.50221-6152</v>
      </c>
      <c r="B4383" s="13" t="str">
        <f>HYPERLINK("https://parts-sales.ru/parts/MAN/81502216152","комплект тормозных накладок 18,0 180MM-B")</f>
        <v>комплект тормозных накладок 18,0 180MM-B</v>
      </c>
      <c r="C4383" s="5" t="s">
        <v>49</v>
      </c>
      <c r="D4383" s="6">
        <v>26796</v>
      </c>
      <c r="E4383" s="6">
        <v>18480</v>
      </c>
      <c r="F4383" s="9">
        <v>0.31</v>
      </c>
      <c r="H4383" s="11"/>
      <c r="I4383" s="11"/>
      <c r="J4383" s="11"/>
    </row>
    <row r="4384" spans="1:10" ht="15.75" x14ac:dyDescent="0.3">
      <c r="A4384" s="12" t="str">
        <f>HYPERLINK("https://parts-sales.ru/parts/MAN/81508206091","81.50820-6091")</f>
        <v>81.50820-6091</v>
      </c>
      <c r="B4384" s="12" t="str">
        <f>HYPERLINK("https://parts-sales.ru/parts/MAN/81508206091","комплект тормозных накладок MAN-MN201 Pr")</f>
        <v>комплект тормозных накладок MAN-MN201 Pr</v>
      </c>
      <c r="C4384" s="3" t="s">
        <v>49</v>
      </c>
      <c r="D4384" s="4">
        <v>26796</v>
      </c>
      <c r="E4384" s="4">
        <v>18480</v>
      </c>
      <c r="F4384" s="8">
        <v>0.31</v>
      </c>
      <c r="H4384" s="11"/>
      <c r="I4384" s="11"/>
      <c r="J4384" s="11"/>
    </row>
    <row r="4385" spans="1:10" ht="15.75" x14ac:dyDescent="0.3">
      <c r="A4385" s="13" t="str">
        <f>HYPERLINK("https://parts-sales.ru/parts/MAN/81508030042","81.50803-0042")</f>
        <v>81.50803-0042</v>
      </c>
      <c r="B4385" s="13" t="s">
        <v>68</v>
      </c>
      <c r="C4385" s="5" t="s">
        <v>49</v>
      </c>
      <c r="D4385" s="6">
        <v>28710</v>
      </c>
      <c r="E4385" s="6">
        <v>15742</v>
      </c>
      <c r="F4385" s="9">
        <v>0.45</v>
      </c>
      <c r="H4385" s="11"/>
      <c r="I4385" s="11"/>
      <c r="J4385" s="11"/>
    </row>
    <row r="4386" spans="1:10" ht="15.75" x14ac:dyDescent="0.3">
      <c r="A4386" s="12" t="str">
        <f>HYPERLINK("https://parts-sales.ru/parts/MAN/81502016223","81.50201-6223")</f>
        <v>81.50201-6223</v>
      </c>
      <c r="B4386" s="12" t="str">
        <f>HYPERLINK("https://parts-sales.ru/parts/MAN/81502016223","Тормозная колодка 220MM")</f>
        <v>Тормозная колодка 220MM</v>
      </c>
      <c r="C4386" s="3" t="s">
        <v>49</v>
      </c>
      <c r="D4386" s="4">
        <v>21488</v>
      </c>
      <c r="E4386" s="4">
        <v>14819</v>
      </c>
      <c r="F4386" s="8">
        <v>0.31</v>
      </c>
      <c r="H4386" s="11"/>
      <c r="I4386" s="11"/>
      <c r="J4386" s="11"/>
    </row>
  </sheetData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0 F A A B Q S w M E F A A C A A g A U l j N W K w S C N q p A A A A + g A A A B I A H A B D b 2 5 m a W c v U G F j a 2 F n Z S 5 4 b W w g o h g A K K A U A A A A A A A A A A A A A A A A A A A A A A A A A A A A h Y 9 N D o I w F I S v Q r q n r 6 3 B H / I o C 7 e S G I 3 G L c E K j V B M K c L d X H g k r y C J o u 5 c z s y 3 + O Z x u 2 P c V 6 V 3 V b b R t Y k I p 4 x 4 y m T 1 U Z s 8 I q 0 7 + X M S S 1 y n 2 T n N l T f A p g n 7 5 h i R w r l L C N B 1 H e 0 m t L Y 5 C M Y 4 H J L V N i t U l Z I P r P / D v j a N S 0 2 m i M T 9 S 0 Y K O u U 0 4 A t B A y H E D G E c M N H m C 4 n B m T K E n x K X b e l a q 6 R t / c 0 O Y Y w I 7 x / y C V B L A w Q U A A I A C A B S W M 1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l j N W A D n 1 s I S A g A A p A M A A B M A H A B G b 3 J t d W x h c y 9 T Z W N 0 a W 9 u M S 5 t I K I Y A C i g F A A A A A A A A A A A A A A A A A A A A A A A A A A A A I 2 S z W r b Q B S F 9 w a / w 6 B u J B C G b h u 8 E L Z L S 9 N i I k F T L G N k e 0 K M R 1 K R x u B i D I n d 0 k I K g V J K N m 3 I p m v n x 1 h V G v k V 7 r x C n 6 R 3 9 E P a O I s I h N D c c 8 / 5 7 s y E t M c H v k f M 7 P t 4 q 1 w q l 8 J 9 J 6 B 9 Y t X N f U o 5 q R J G e b l E 8 I E T c S h m k I i P c A M R x F h r j H u U V V 7 7 w b D r + 0 P 1 6 Y D R S s 3 3 O P V 4 q C p v n t j 1 R t P Y s V 4 2 X l m m b e 7 U i L H H a R A 6 j I Z 2 3 b A M 2 + R + b 2 j D j 9 R 5 g W 8 M U Q c j Z h i y F L N O b b t J 1 N 1 t c 1 e r j F k 4 V j S d e C P G d M K D E d X 0 D C x n 7 R T E d 0 E n r e e c u l U l 1 y n 6 i 4 H X r y r Z T 3 v a q j v c a e d e j x Q 4 h Q Q u x J H 4 B E v s v x F H s C S w g g V c Y u F a F i W l g k G W 0 8 W B m 4 H v + p w + o 0 4 f Z 1 P / o 9 F J K y 8 b j J k 9 h z l B W J X s b e 0 2 8 A T d f 6 d h R e A v g v w R r G 9 D r M D x w j 0 / c G s + G 7 m e 9 e 4 t D d W H w + q T i f L n / T c C a 0 g I r u B W V x T c R b Q h n I 7 5 V C c T B b 6 j P g O J s R c 1 Y i 4 O Y L E p P M X l B A F X a J / A F U S I u 4 R r 8 X l T + j P 1 k x w L c U z g U h y I O V K s 7 7 P 9 I j 4 U d g Q u / h G L + T 0 M U i r x k O J K p q d B k Z w / T u f A i H Q h 2 u i V t w r O U b 8 i O P N X O C N q a o c D o F n G m g 8 k D u X + S d N 1 K j j W C j d v 5 H Z p k L G c p f t w n s J n 5 4 e 3 r 7 j S C c R 3 e q Z a u T T w H n L + W 3 8 B U E s B A i 0 A F A A C A A g A U l j N W K w S C N q p A A A A + g A A A B I A A A A A A A A A A A A A A A A A A A A A A E N v b m Z p Z y 9 Q Y W N r Y W d l L n h t b F B L A Q I t A B Q A A g A I A F J Y z V g P y u m r p A A A A O k A A A A T A A A A A A A A A A A A A A A A A P U A A A B b Q 2 9 u d G V u d F 9 U e X B l c 1 0 u e G 1 s U E s B A i 0 A F A A C A A g A U l j N W A D n 1 s I S A g A A p A M A A B M A A A A A A A A A A A A A A A A A 5 g E A A E Z v c m 1 1 b G F z L 1 N l Y 3 R p b 2 4 x L m 1 Q S w U G A A A A A A M A A w D C A A A A R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x E A A A A A A A A 1 E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E R T a G V l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M T c 4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i 0 x M 1 Q w N z o 1 N T o x M S 4 y N z g w O T k z W i I g L z 4 8 R W 5 0 c n k g V H l w Z T 0 i R m l s b E N v b H V t b l R 5 c G V z I i B W Y W x 1 Z T 0 i c 0 J n W U d C Z 1 l H Q l F V P S I g L z 4 8 R W 5 0 c n k g V H l w Z T 0 i R m l s b E N v b H V t b k 5 h b W V z I i B W Y W x 1 Z T 0 i c 1 s m c X V v d D v i h J Y g 0 L / Q v i D Q u t C w 0 Y I u J n F 1 b 3 Q 7 L C Z x d W 9 0 O 9 C d 0 L 7 Q v N C 1 0 L 3 Q u t C 7 0 L D R g t G D 0 Y D Q s C Z x d W 9 0 O y w m c X V v d D v Q n 9 G A 0 L 7 Q u N C 3 0 L L Q v t C 0 0 L j R g t C 1 0 L v R j C Z x d W 9 0 O y w m c X V v d D v Q p t C 1 0 L 3 Q v t C y 0 L D R j y D Q s 9 G A 0 Y P Q v 9 C / 0 L A m c X V v d D s s J n F 1 b 3 Q 7 0 J L R h d C + 0 L T Q u N G C I N C y I N C z 0 Y D R g 9 C / 0 L / R g y Z x d W 9 0 O y w m c X V v d D v Q n 9 C + 0 L T R g N C w 0 L f Q t N C 1 0 L v Q t d C 9 0 L j Q t S D Q u t C + 0 L z Q v 9 C w 0 L 3 Q u N C 4 J n F 1 b 3 Q 7 L C Z x d W 9 0 O 0 N M U C D Q s d C 1 0 L c g 0 J 3 Q l N C h I C j Q n 9 C + 0 L v R j N C 3 0 L 7 Q s t C w 0 Y L Q t d C 7 0 Y z R g d C 6 0 L j Q t S D Q v 9 C + 0 L v R j y k m c X V v d D s s J n F 1 b 3 Q 7 0 K H Q s t C + 0 L H Q v t C 0 0 L 3 R i 9 C 5 I N C + 0 Y H R g t C w 0 Y L Q v t C 6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R T a G V l d C / Q m N C 3 0 L z Q t d C 9 0 L X Q v d C 9 0 Y v Q u S D R g t C 4 0 L 8 u e + K E l i D Q v 9 C + I N C 6 0 L D R g i 4 s M H 0 m c X V v d D s s J n F 1 b 3 Q 7 U 2 V j d G l v b j E v V E R T a G V l d C / Q m N C 3 0 L z Q t d C 9 0 L X Q v d C 9 0 Y v Q u S D R g t C 4 0 L 8 u e 9 C d 0 L 7 Q v N C 1 0 L 3 Q u t C 7 0 L D R g t G D 0 Y D Q s C w x f S Z x d W 9 0 O y w m c X V v d D t T Z W N 0 a W 9 u M S 9 U R F N o Z W V 0 L 9 C Y 0 L f Q v N C 1 0 L 3 Q t d C 9 0 L 3 R i 9 C 5 I N G C 0 L j Q v y 5 7 0 J / R g N C + 0 L j Q t 9 C y 0 L 7 Q t N C 4 0 Y L Q t d C 7 0 Y w s M n 0 m c X V v d D s s J n F 1 b 3 Q 7 U 2 V j d G l v b j E v V E R T a G V l d C / Q m N C 3 0 L z Q t d C 9 0 L X Q v d C 9 0 Y v Q u S D R g t C 4 0 L 8 u e 9 C m 0 L X Q v d C + 0 L L Q s N G P I N C z 0 Y D R g 9 C / 0 L / Q s C w z f S Z x d W 9 0 O y w m c X V v d D t T Z W N 0 a W 9 u M S 9 U R F N o Z W V 0 L 9 C Y 0 L f Q v N C 1 0 L 3 Q t d C 9 0 L 3 R i 9 C 5 I N G C 0 L j Q v y 5 7 0 J L R h d C + 0 L T Q u N G C I N C y I N C z 0 Y D R g 9 C / 0 L / R g y w 0 f S Z x d W 9 0 O y w m c X V v d D t T Z W N 0 a W 9 u M S 9 U R F N o Z W V 0 L 9 C Y 0 L f Q v N C 1 0 L 3 Q t d C 9 0 L 3 R i 9 C 5 I N G C 0 L j Q v y 5 7 0 J / Q v t C 0 0 Y D Q s N C 3 0 L T Q t d C 7 0 L X Q v d C 4 0 L U g 0 L r Q v t C 8 0 L / Q s N C 9 0 L j Q u C w 1 f S Z x d W 9 0 O y w m c X V v d D t T Z W N 0 a W 9 u M S 9 U R F N o Z W V 0 L 9 C Y 0 L f Q v N C 1 0 L 3 Q t d C 9 0 L 3 R i 9 C 5 I N G C 0 L j Q v y 5 7 Q 0 x Q I N C x 0 L X Q t y D Q n d C U 0 K E g K N C f 0 L 7 Q u 9 G M 0 L f Q v t C y 0 L D R g t C 1 0 L v R j N G B 0 L r Q u N C 1 I N C / 0 L 7 Q u 9 G P K S w 2 f S Z x d W 9 0 O y w m c X V v d D t T Z W N 0 a W 9 u M S 9 U R F N o Z W V 0 L 9 C Y 0 L f Q v N C 1 0 L 3 Q t d C 9 0 L 3 R i 9 C 5 I N G C 0 L j Q v y 5 7 0 K H Q s t C + 0 L H Q v t C 0 0 L 3 R i 9 C 5 I N C + 0 Y H R g t C w 0 Y L Q v t C 6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R E U 2 h l Z X Q v 0 J j Q t 9 C 8 0 L X Q v d C 1 0 L 3 Q v d G L 0 L k g 0 Y L Q u N C / L n v i h J Y g 0 L / Q v i D Q u t C w 0 Y I u L D B 9 J n F 1 b 3 Q 7 L C Z x d W 9 0 O 1 N l Y 3 R p b 2 4 x L 1 R E U 2 h l Z X Q v 0 J j Q t 9 C 8 0 L X Q v d C 1 0 L 3 Q v d G L 0 L k g 0 Y L Q u N C / L n v Q n d C + 0 L z Q t d C 9 0 L r Q u 9 C w 0 Y L R g 9 G A 0 L A s M X 0 m c X V v d D s s J n F 1 b 3 Q 7 U 2 V j d G l v b j E v V E R T a G V l d C / Q m N C 3 0 L z Q t d C 9 0 L X Q v d C 9 0 Y v Q u S D R g t C 4 0 L 8 u e 9 C f 0 Y D Q v t C 4 0 L f Q s t C + 0 L T Q u N G C 0 L X Q u 9 G M L D J 9 J n F 1 b 3 Q 7 L C Z x d W 9 0 O 1 N l Y 3 R p b 2 4 x L 1 R E U 2 h l Z X Q v 0 J j Q t 9 C 8 0 L X Q v d C 1 0 L 3 Q v d G L 0 L k g 0 Y L Q u N C / L n v Q p t C 1 0 L 3 Q v t C y 0 L D R j y D Q s 9 G A 0 Y P Q v 9 C / 0 L A s M 3 0 m c X V v d D s s J n F 1 b 3 Q 7 U 2 V j d G l v b j E v V E R T a G V l d C / Q m N C 3 0 L z Q t d C 9 0 L X Q v d C 9 0 Y v Q u S D R g t C 4 0 L 8 u e 9 C S 0 Y X Q v t C 0 0 L j R g i D Q s i D Q s 9 G A 0 Y P Q v 9 C / 0 Y M s N H 0 m c X V v d D s s J n F 1 b 3 Q 7 U 2 V j d G l v b j E v V E R T a G V l d C / Q m N C 3 0 L z Q t d C 9 0 L X Q v d C 9 0 Y v Q u S D R g t C 4 0 L 8 u e 9 C f 0 L 7 Q t N G A 0 L D Q t 9 C 0 0 L X Q u 9 C 1 0 L 3 Q u N C 1 I N C 6 0 L 7 Q v N C / 0 L D Q v d C 4 0 L g s N X 0 m c X V v d D s s J n F 1 b 3 Q 7 U 2 V j d G l v b j E v V E R T a G V l d C / Q m N C 3 0 L z Q t d C 9 0 L X Q v d C 9 0 Y v Q u S D R g t C 4 0 L 8 u e 0 N M U C D Q s d C 1 0 L c g 0 J 3 Q l N C h I C j Q n 9 C + 0 L v R j N C 3 0 L 7 Q s t C w 0 Y L Q t d C 7 0 Y z R g d C 6 0 L j Q t S D Q v 9 C + 0 L v R j y k s N n 0 m c X V v d D s s J n F 1 b 3 Q 7 U 2 V j d G l v b j E v V E R T a G V l d C / Q m N C 3 0 L z Q t d C 9 0 L X Q v d C 9 0 Y v Q u S D R g t C 4 0 L 8 u e 9 C h 0 L L Q v t C x 0 L 7 Q t N C 9 0 Y v Q u S D Q v t G B 0 Y L Q s N G C 0 L 7 Q u i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R T a G V l d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F N o Z W V 0 L 1 R E U 2 h l Z X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F N o Z W V 0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V 5 U 4 N y m y x M v s P W C U P Z X 5 k A A A A A A g A A A A A A A 2 Y A A M A A A A A Q A A A A T L + d M + X q V s W V v 5 P L i y j / r A A A A A A E g A A A o A A A A B A A A A C f w 1 H d 5 D M f w O n i 4 j Z A a 0 A j U A A A A P U e s Z T 7 a y I W W h f T e q n e q p B c C H N E r z l 7 R x j y d Q f a H h X a f N 0 t v w z s 2 q Q l v l X t 0 o Z m a x O y u C C S O B W z 0 9 x r I 1 w D B i s 7 b S V F 9 Z R V 0 O H f F P + a m H U H F A A A A K S a c z r K Z Z F G 5 Q 1 A o M v L p T t s T E n D < / D a t a M a s h u p > 
</file>

<file path=customXml/itemProps1.xml><?xml version="1.0" encoding="utf-8"?>
<ds:datastoreItem xmlns:ds="http://schemas.openxmlformats.org/officeDocument/2006/customXml" ds:itemID="{310D09F7-5BB6-43D7-A814-8D492EA086A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Полный список</vt:lpstr>
    </vt:vector>
  </TitlesOfParts>
  <Company>MTBR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Novikov Alexander (SALES-RU-N)</dc:creator>
  <cp:lastModifiedBy>Novikov Alexander (SALES-RU-N)</cp:lastModifiedBy>
  <dcterms:created xsi:type="dcterms:W3CDTF">2024-05-17T12:21:59Z</dcterms:created>
  <dcterms:modified xsi:type="dcterms:W3CDTF">2024-08-16T04:46:32Z</dcterms:modified>
</cp:coreProperties>
</file>